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Override PartName="/xl/drawings/drawing28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xl/drawings/drawing22.xml" ContentType="application/vnd.openxmlformats-officedocument.drawing+xml"/>
  <Override PartName="/xl/drawings/drawing24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drawings/drawing7.xml" ContentType="application/vnd.openxmlformats-officedocument.drawing+xml"/>
  <Override PartName="/xl/drawings/drawing29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Default Extension="jpeg" ContentType="image/jpeg"/>
  <Override PartName="/xl/drawings/drawing18.xml" ContentType="application/vnd.openxmlformats-officedocument.drawing+xml"/>
  <Override PartName="/xl/drawings/drawing27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drawings/drawing2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/>
  <bookViews>
    <workbookView xWindow="32760" yWindow="32760" windowWidth="21600" windowHeight="11010" tabRatio="779" activeTab="7"/>
  </bookViews>
  <sheets>
    <sheet name="CDM (F)" sheetId="29" r:id="rId1"/>
    <sheet name="CDL(F)" sheetId="2" r:id="rId2"/>
    <sheet name="FV" sheetId="3" r:id="rId3"/>
    <sheet name="FVL-FVC" sheetId="49" r:id="rId4"/>
    <sheet name="FTD" sheetId="13" r:id="rId5"/>
    <sheet name="QB" sheetId="45" r:id="rId6"/>
    <sheet name="FB-FBA-FBG-FBT-FBS" sheetId="41" r:id="rId7"/>
    <sheet name="WQC с рубашкой охлаждения" sheetId="50" r:id="rId8"/>
    <sheet name="WQV" sheetId="48" r:id="rId9"/>
    <sheet name="WQ-WQS" sheetId="28" r:id="rId10"/>
    <sheet name="WQK" sheetId="46" r:id="rId11"/>
    <sheet name="WQH" sheetId="47" r:id="rId12"/>
    <sheet name="WQAS" sheetId="39" r:id="rId13"/>
    <sheet name="АТМ и колена  к WQ" sheetId="30" r:id="rId14"/>
    <sheet name="KBD-KBS" sheetId="27" r:id="rId15"/>
    <sheet name="FZ" sheetId="40" r:id="rId16"/>
    <sheet name="L" sheetId="26" r:id="rId17"/>
    <sheet name="CM" sheetId="4" r:id="rId18"/>
    <sheet name="MS" sheetId="5" r:id="rId19"/>
    <sheet name="CHL" sheetId="6" r:id="rId20"/>
    <sheet name="CHLF" sheetId="7" r:id="rId21"/>
    <sheet name="CHLFT" sheetId="8" r:id="rId22"/>
    <sheet name="MHI" sheetId="43" r:id="rId23"/>
    <sheet name="FWO FDX 2FDX" sheetId="38" r:id="rId24"/>
    <sheet name="FSC" sheetId="42" r:id="rId25"/>
    <sheet name="FST" sheetId="33" r:id="rId26"/>
    <sheet name="FST 4" sheetId="34" r:id="rId27"/>
    <sheet name="FSM - FSM 4" sheetId="35" r:id="rId28"/>
    <sheet name="FSP" sheetId="18" r:id="rId29"/>
    <sheet name="Электродвигатели FANCY" sheetId="44" r:id="rId30"/>
    <sheet name="Поплавковый выключатель" sheetId="37" r:id="rId31"/>
    <sheet name="Дополнительные опции" sheetId="31" r:id="rId32"/>
  </sheets>
  <calcPr calcId="125725"/>
</workbook>
</file>

<file path=xl/calcChain.xml><?xml version="1.0" encoding="utf-8"?>
<calcChain xmlns="http://schemas.openxmlformats.org/spreadsheetml/2006/main">
  <c r="L369" i="29"/>
  <c r="L368"/>
  <c r="L367"/>
  <c r="L366"/>
  <c r="L365"/>
  <c r="L364"/>
  <c r="L363"/>
  <c r="L362"/>
  <c r="L361"/>
  <c r="L360"/>
  <c r="L359"/>
  <c r="L358"/>
  <c r="L357"/>
  <c r="L356"/>
  <c r="L355"/>
  <c r="L354"/>
  <c r="L353"/>
  <c r="L352"/>
  <c r="L351"/>
  <c r="L350"/>
  <c r="L349"/>
  <c r="L348"/>
  <c r="L347"/>
  <c r="L346"/>
  <c r="L345"/>
  <c r="L344"/>
  <c r="L343"/>
  <c r="L342"/>
  <c r="L341"/>
  <c r="L340"/>
  <c r="L339"/>
  <c r="L338"/>
  <c r="L337"/>
  <c r="L336"/>
  <c r="L335"/>
  <c r="L334"/>
  <c r="L333"/>
  <c r="L332"/>
  <c r="L331"/>
  <c r="L330"/>
  <c r="L329"/>
  <c r="L328"/>
  <c r="L327"/>
  <c r="L326"/>
  <c r="L325"/>
  <c r="L324"/>
  <c r="L323"/>
  <c r="L322"/>
  <c r="L321"/>
  <c r="L320"/>
  <c r="L319"/>
  <c r="L318"/>
  <c r="L317"/>
  <c r="L316"/>
  <c r="L315"/>
  <c r="L314"/>
  <c r="L313"/>
  <c r="L312"/>
  <c r="L311"/>
  <c r="L310"/>
  <c r="L309"/>
  <c r="L308"/>
  <c r="L307"/>
  <c r="L306"/>
  <c r="L305"/>
  <c r="L304"/>
  <c r="L303"/>
  <c r="L302"/>
  <c r="L301"/>
  <c r="L300"/>
  <c r="L299"/>
  <c r="L298"/>
  <c r="L297"/>
  <c r="L296"/>
  <c r="L295"/>
  <c r="L294"/>
  <c r="L293"/>
  <c r="L292"/>
  <c r="L291"/>
  <c r="L290"/>
  <c r="L289"/>
  <c r="L288"/>
  <c r="L287"/>
  <c r="L286"/>
  <c r="L285"/>
  <c r="L284"/>
  <c r="L283"/>
  <c r="L282"/>
  <c r="L281"/>
  <c r="L280"/>
  <c r="L279"/>
  <c r="L278"/>
  <c r="L277"/>
  <c r="L276"/>
  <c r="L275"/>
  <c r="L274"/>
  <c r="L273"/>
  <c r="L272"/>
  <c r="L271"/>
  <c r="L270"/>
  <c r="L269"/>
  <c r="L268"/>
  <c r="L267"/>
  <c r="L266"/>
  <c r="L265"/>
  <c r="L264"/>
  <c r="L263"/>
  <c r="L262"/>
  <c r="L261"/>
  <c r="L260"/>
  <c r="L259"/>
  <c r="L258"/>
  <c r="L257"/>
  <c r="L256"/>
  <c r="L255"/>
  <c r="L254"/>
  <c r="L253"/>
  <c r="L252"/>
  <c r="L251"/>
  <c r="L250"/>
  <c r="L249"/>
  <c r="L248"/>
  <c r="L247"/>
  <c r="L246"/>
  <c r="L245"/>
  <c r="L244"/>
  <c r="L243"/>
  <c r="L242"/>
  <c r="L241"/>
  <c r="L240"/>
  <c r="L239"/>
  <c r="L238"/>
  <c r="L237"/>
  <c r="L236"/>
  <c r="L235"/>
  <c r="L234"/>
  <c r="L233"/>
  <c r="L232"/>
  <c r="L231"/>
  <c r="L230"/>
  <c r="L229"/>
  <c r="L228"/>
  <c r="L227"/>
  <c r="L226"/>
  <c r="L225"/>
  <c r="L224"/>
  <c r="L223"/>
  <c r="L222"/>
  <c r="L221"/>
  <c r="L220"/>
  <c r="L219"/>
  <c r="L218"/>
  <c r="L217"/>
  <c r="L216"/>
  <c r="L215"/>
  <c r="L214"/>
  <c r="L213"/>
  <c r="L212"/>
  <c r="L211"/>
  <c r="L210"/>
  <c r="L209"/>
  <c r="L208"/>
  <c r="L207"/>
  <c r="L206"/>
  <c r="L205"/>
  <c r="L204"/>
  <c r="L203"/>
  <c r="L202"/>
  <c r="L201"/>
  <c r="L200"/>
  <c r="L199"/>
  <c r="L198"/>
  <c r="L197"/>
  <c r="L196"/>
  <c r="L195"/>
  <c r="L194"/>
  <c r="L193"/>
  <c r="L192"/>
  <c r="L191"/>
  <c r="L190"/>
  <c r="L189"/>
  <c r="L188"/>
  <c r="L187"/>
  <c r="L186"/>
  <c r="L185"/>
  <c r="L184"/>
  <c r="L183"/>
  <c r="L182"/>
  <c r="L181"/>
  <c r="L180"/>
  <c r="L179"/>
  <c r="L178"/>
  <c r="L177"/>
  <c r="L176"/>
  <c r="L175"/>
  <c r="L174"/>
  <c r="L173"/>
  <c r="L172"/>
  <c r="L171"/>
  <c r="L170"/>
  <c r="L169"/>
  <c r="L168"/>
  <c r="L167"/>
  <c r="L166"/>
  <c r="L165"/>
  <c r="L164"/>
  <c r="L163"/>
  <c r="L162"/>
  <c r="L161"/>
  <c r="L160"/>
  <c r="L159"/>
  <c r="L158"/>
  <c r="L157"/>
  <c r="L156"/>
  <c r="L155"/>
  <c r="L154"/>
  <c r="L153"/>
  <c r="L152"/>
  <c r="L151"/>
  <c r="L150"/>
  <c r="L149"/>
  <c r="L148"/>
  <c r="L147"/>
  <c r="L146"/>
  <c r="L145"/>
  <c r="L144"/>
  <c r="L143"/>
  <c r="L142"/>
  <c r="L141"/>
  <c r="L140"/>
  <c r="L139"/>
  <c r="L138"/>
  <c r="L137"/>
  <c r="L136"/>
  <c r="L135"/>
  <c r="L134"/>
  <c r="L133"/>
  <c r="L132"/>
  <c r="L131"/>
  <c r="L130"/>
  <c r="L129"/>
  <c r="L128"/>
  <c r="L127"/>
  <c r="L126"/>
  <c r="L125"/>
  <c r="L124"/>
  <c r="L123"/>
  <c r="L122"/>
  <c r="L121"/>
  <c r="L120"/>
  <c r="L119"/>
  <c r="L118"/>
  <c r="L117"/>
  <c r="L116"/>
  <c r="L115"/>
  <c r="L114"/>
  <c r="L113"/>
  <c r="L112"/>
  <c r="L111"/>
  <c r="L110"/>
  <c r="L109"/>
  <c r="L108"/>
  <c r="L107"/>
  <c r="L106"/>
  <c r="L105"/>
  <c r="L104"/>
  <c r="L103"/>
  <c r="L102"/>
  <c r="L101"/>
  <c r="L100"/>
  <c r="L99"/>
  <c r="L98"/>
  <c r="L97"/>
  <c r="L96"/>
  <c r="L95"/>
  <c r="L94"/>
  <c r="L93"/>
  <c r="L92"/>
  <c r="L91"/>
  <c r="L90"/>
  <c r="L89"/>
  <c r="L88"/>
  <c r="L87"/>
  <c r="L86"/>
  <c r="L85"/>
  <c r="L84"/>
  <c r="L83"/>
  <c r="L82"/>
  <c r="L81"/>
  <c r="L80"/>
  <c r="L79"/>
  <c r="L78"/>
  <c r="L77"/>
  <c r="L76"/>
  <c r="L75"/>
  <c r="L74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K228" i="35"/>
  <c r="K227"/>
  <c r="K226"/>
  <c r="K225"/>
  <c r="K224"/>
  <c r="K223"/>
  <c r="K222"/>
  <c r="K221"/>
  <c r="K220"/>
  <c r="K219"/>
  <c r="K218"/>
  <c r="K217"/>
  <c r="K216"/>
  <c r="K215"/>
  <c r="K214"/>
  <c r="K213"/>
  <c r="K212"/>
  <c r="K211"/>
  <c r="K210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90"/>
  <c r="K189"/>
  <c r="K188"/>
  <c r="K187"/>
  <c r="K186"/>
  <c r="K185"/>
  <c r="K184"/>
  <c r="K183"/>
  <c r="K182"/>
  <c r="K181"/>
  <c r="K180"/>
  <c r="K179"/>
  <c r="K178"/>
  <c r="K177"/>
  <c r="K176"/>
  <c r="K175"/>
  <c r="K174"/>
  <c r="K173"/>
  <c r="K172"/>
  <c r="K171"/>
  <c r="K170"/>
  <c r="K169"/>
  <c r="K168"/>
  <c r="K167"/>
  <c r="K166"/>
  <c r="K165"/>
  <c r="K164"/>
  <c r="K163"/>
  <c r="K162"/>
  <c r="K161"/>
  <c r="K160"/>
  <c r="K159"/>
  <c r="K158"/>
  <c r="K157"/>
  <c r="K156"/>
  <c r="K155"/>
  <c r="K154"/>
  <c r="K153"/>
  <c r="K152"/>
  <c r="K151"/>
  <c r="K150"/>
  <c r="K149"/>
  <c r="K148"/>
  <c r="K147"/>
  <c r="K146"/>
  <c r="K145"/>
  <c r="K144"/>
  <c r="K143"/>
  <c r="K142"/>
  <c r="K141"/>
  <c r="K140"/>
  <c r="K139"/>
  <c r="K138"/>
  <c r="K137"/>
  <c r="K136"/>
  <c r="K135"/>
  <c r="K134"/>
  <c r="K133"/>
  <c r="K132"/>
  <c r="K131"/>
  <c r="K130"/>
  <c r="K129"/>
  <c r="K128"/>
  <c r="K127"/>
  <c r="K126"/>
  <c r="K125"/>
  <c r="K124"/>
  <c r="K123"/>
  <c r="K122"/>
  <c r="K121"/>
  <c r="K120"/>
  <c r="K119"/>
  <c r="K118"/>
  <c r="K117"/>
  <c r="K116"/>
  <c r="K115"/>
  <c r="K114"/>
  <c r="K113"/>
  <c r="K112"/>
  <c r="K111"/>
  <c r="K110"/>
  <c r="K109"/>
  <c r="K108"/>
  <c r="K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K86"/>
  <c r="K85"/>
  <c r="K84"/>
  <c r="K83"/>
  <c r="K82"/>
  <c r="K81"/>
  <c r="K80"/>
  <c r="K79"/>
  <c r="K78"/>
  <c r="K77"/>
  <c r="K76"/>
  <c r="K75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M98" i="40"/>
  <c r="M97"/>
  <c r="M96"/>
  <c r="M95"/>
  <c r="M94"/>
  <c r="M93"/>
  <c r="M92"/>
  <c r="M91"/>
  <c r="M90"/>
  <c r="M89"/>
  <c r="M53"/>
  <c r="M52"/>
  <c r="M51"/>
  <c r="M50"/>
  <c r="M49"/>
  <c r="M48"/>
  <c r="M47"/>
  <c r="M46"/>
  <c r="M45"/>
  <c r="M44"/>
  <c r="M124" i="41"/>
  <c r="M123"/>
  <c r="M76" i="48"/>
  <c r="M70"/>
  <c r="M69"/>
  <c r="M68"/>
  <c r="M64"/>
  <c r="M63"/>
  <c r="M62"/>
  <c r="M61"/>
  <c r="M58"/>
  <c r="M57"/>
  <c r="M41"/>
  <c r="M40"/>
  <c r="M39"/>
  <c r="M38"/>
  <c r="M33"/>
  <c r="M32"/>
  <c r="M31"/>
  <c r="M30"/>
  <c r="M29"/>
  <c r="M28"/>
  <c r="M27"/>
  <c r="M26"/>
  <c r="M25"/>
  <c r="M24"/>
  <c r="M16"/>
  <c r="M15"/>
  <c r="M14"/>
  <c r="M13"/>
  <c r="M12"/>
  <c r="L14" i="47"/>
  <c r="L13"/>
  <c r="L12"/>
  <c r="L11"/>
  <c r="L10"/>
  <c r="L9"/>
  <c r="L30" i="46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M10" i="45"/>
  <c r="M9"/>
  <c r="M122" i="41"/>
  <c r="M121"/>
  <c r="M120"/>
  <c r="M119"/>
  <c r="M118"/>
  <c r="M117"/>
  <c r="M116"/>
  <c r="M115"/>
  <c r="M114"/>
  <c r="M113"/>
  <c r="M112"/>
  <c r="M111"/>
  <c r="M110"/>
  <c r="M109"/>
  <c r="M108"/>
  <c r="N22" i="43"/>
  <c r="N21"/>
  <c r="N20"/>
  <c r="N19"/>
  <c r="N18"/>
  <c r="N17"/>
  <c r="N16"/>
  <c r="N15"/>
  <c r="N14"/>
  <c r="N13"/>
  <c r="N12"/>
  <c r="N11"/>
  <c r="N10"/>
  <c r="L127" i="13"/>
  <c r="L126"/>
  <c r="L125"/>
  <c r="L124"/>
  <c r="L123"/>
  <c r="L122"/>
  <c r="L121"/>
  <c r="L120"/>
  <c r="L119"/>
  <c r="L118"/>
  <c r="L117"/>
  <c r="L116"/>
  <c r="L115"/>
  <c r="L114"/>
  <c r="L113"/>
  <c r="L112"/>
  <c r="L111"/>
  <c r="L110"/>
  <c r="L109"/>
  <c r="L108"/>
  <c r="L107"/>
  <c r="L106"/>
  <c r="L105"/>
  <c r="L104"/>
  <c r="L103"/>
  <c r="L102"/>
  <c r="L101"/>
  <c r="L100"/>
  <c r="L99"/>
  <c r="L98"/>
  <c r="L97"/>
  <c r="L96"/>
  <c r="L95"/>
  <c r="L94"/>
  <c r="L93"/>
  <c r="L92"/>
  <c r="L91"/>
  <c r="L90"/>
  <c r="L89"/>
  <c r="L88"/>
  <c r="L87"/>
  <c r="L86"/>
  <c r="L85"/>
  <c r="L84"/>
  <c r="L83"/>
  <c r="L82"/>
  <c r="L81"/>
  <c r="L80"/>
  <c r="L79"/>
  <c r="L78"/>
  <c r="L77"/>
  <c r="L76"/>
  <c r="L75"/>
  <c r="L74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M89" i="41"/>
  <c r="M88"/>
  <c r="M87"/>
  <c r="M86"/>
  <c r="M85"/>
  <c r="M84"/>
  <c r="M83"/>
  <c r="M82"/>
  <c r="M81"/>
  <c r="M80"/>
  <c r="M79"/>
  <c r="M78"/>
  <c r="M77"/>
  <c r="M76"/>
  <c r="M63"/>
  <c r="M62"/>
  <c r="M61"/>
  <c r="M60"/>
  <c r="M59"/>
  <c r="M58"/>
  <c r="M57"/>
  <c r="M56"/>
  <c r="M55"/>
  <c r="M54"/>
  <c r="M53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M7"/>
  <c r="M88" i="40"/>
  <c r="M87"/>
  <c r="M86"/>
  <c r="M85"/>
  <c r="M84"/>
  <c r="M83"/>
  <c r="M82"/>
  <c r="M81"/>
  <c r="M80"/>
  <c r="M79"/>
  <c r="M78"/>
  <c r="M77"/>
  <c r="M76"/>
  <c r="M75"/>
  <c r="M74"/>
  <c r="M73"/>
  <c r="M72"/>
  <c r="M71"/>
  <c r="M70"/>
  <c r="M69"/>
  <c r="M68"/>
  <c r="M67"/>
  <c r="M66"/>
  <c r="M65"/>
  <c r="M64"/>
  <c r="M63"/>
  <c r="M62"/>
  <c r="M61"/>
  <c r="M60"/>
  <c r="M59"/>
  <c r="M58"/>
  <c r="M57"/>
  <c r="M56"/>
  <c r="M55"/>
  <c r="M5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L58" i="38"/>
  <c r="L57"/>
  <c r="L56"/>
  <c r="L55"/>
  <c r="L54"/>
  <c r="L53"/>
  <c r="L52"/>
  <c r="L51"/>
  <c r="L50"/>
  <c r="L49"/>
  <c r="L48"/>
  <c r="L35"/>
  <c r="L34"/>
  <c r="L33"/>
  <c r="L32"/>
  <c r="L31"/>
  <c r="L30"/>
  <c r="L29"/>
  <c r="L28"/>
  <c r="L27"/>
  <c r="L14"/>
  <c r="L13"/>
  <c r="L12"/>
  <c r="L11"/>
  <c r="L10"/>
  <c r="L9"/>
  <c r="L8"/>
  <c r="K69" i="34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32" i="33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11" i="3"/>
  <c r="K92" i="28"/>
  <c r="K91"/>
  <c r="K90"/>
  <c r="K89"/>
  <c r="K88"/>
  <c r="K87"/>
  <c r="K86"/>
  <c r="K85"/>
  <c r="K84"/>
  <c r="K83"/>
  <c r="K82"/>
  <c r="K81"/>
  <c r="K80"/>
  <c r="K79"/>
  <c r="K78"/>
  <c r="K77"/>
  <c r="K76"/>
  <c r="K75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27" i="27"/>
  <c r="K26"/>
  <c r="K25"/>
  <c r="K24"/>
  <c r="K23"/>
  <c r="K11"/>
  <c r="K10"/>
  <c r="K9"/>
  <c r="K8"/>
  <c r="K11" i="26"/>
  <c r="K10"/>
  <c r="K9"/>
  <c r="K8"/>
  <c r="K13" i="18"/>
  <c r="K12"/>
  <c r="K11"/>
  <c r="K10"/>
  <c r="K9"/>
  <c r="K8"/>
  <c r="K35" i="8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35" i="7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31" i="6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19" i="5"/>
  <c r="K18"/>
  <c r="K17"/>
  <c r="K16"/>
  <c r="K15"/>
  <c r="K14"/>
  <c r="K13"/>
  <c r="K12"/>
  <c r="K11"/>
  <c r="K10"/>
  <c r="K9"/>
  <c r="K8"/>
  <c r="K37" i="4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32" i="3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M292" i="2"/>
  <c r="M291"/>
  <c r="M290"/>
  <c r="M289"/>
  <c r="M288"/>
  <c r="M287"/>
  <c r="M286"/>
  <c r="M285"/>
  <c r="M284"/>
  <c r="M283"/>
  <c r="M282"/>
  <c r="M281"/>
  <c r="M280"/>
  <c r="M279"/>
  <c r="M278"/>
  <c r="M277"/>
  <c r="M276"/>
  <c r="M275"/>
  <c r="M274"/>
  <c r="M273"/>
  <c r="M272"/>
  <c r="M271"/>
  <c r="M270"/>
  <c r="M269"/>
  <c r="M268"/>
  <c r="M267"/>
  <c r="M266"/>
  <c r="M265"/>
  <c r="M264"/>
  <c r="M263"/>
  <c r="M262"/>
  <c r="M261"/>
  <c r="M260"/>
  <c r="M259"/>
  <c r="M258"/>
  <c r="M257"/>
  <c r="M256"/>
  <c r="M255"/>
  <c r="M254"/>
  <c r="M253"/>
  <c r="M252"/>
  <c r="M251"/>
  <c r="M250"/>
  <c r="M249"/>
  <c r="M248"/>
  <c r="M247"/>
  <c r="M246"/>
  <c r="M245"/>
  <c r="M244"/>
  <c r="M243"/>
  <c r="M242"/>
  <c r="M241"/>
  <c r="M240"/>
  <c r="M239"/>
  <c r="M238"/>
  <c r="M237"/>
  <c r="M236"/>
  <c r="M235"/>
  <c r="M234"/>
  <c r="M233"/>
  <c r="M232"/>
  <c r="M231"/>
  <c r="M230"/>
  <c r="M229"/>
  <c r="M228"/>
  <c r="M227"/>
  <c r="M226"/>
  <c r="M225"/>
  <c r="M224"/>
  <c r="M223"/>
  <c r="M222"/>
  <c r="M221"/>
  <c r="M220"/>
  <c r="M219"/>
  <c r="M218"/>
  <c r="M217"/>
  <c r="M216"/>
  <c r="M215"/>
  <c r="M214"/>
  <c r="M213"/>
  <c r="M212"/>
  <c r="M211"/>
  <c r="M210"/>
  <c r="M209"/>
  <c r="M208"/>
  <c r="M207"/>
  <c r="M206"/>
  <c r="M205"/>
  <c r="M204"/>
  <c r="M203"/>
  <c r="M202"/>
  <c r="M201"/>
  <c r="M200"/>
  <c r="M199"/>
  <c r="M198"/>
  <c r="M197"/>
  <c r="M196"/>
  <c r="M195"/>
  <c r="M194"/>
  <c r="M193"/>
  <c r="M192"/>
  <c r="M191"/>
  <c r="M190"/>
  <c r="M189"/>
  <c r="M188"/>
  <c r="M187"/>
  <c r="M186"/>
  <c r="M185"/>
  <c r="M184"/>
  <c r="M183"/>
  <c r="M182"/>
  <c r="M181"/>
  <c r="M180"/>
  <c r="M179"/>
  <c r="M178"/>
  <c r="M177"/>
  <c r="M176"/>
  <c r="M175"/>
  <c r="M174"/>
  <c r="M173"/>
  <c r="M172"/>
  <c r="M171"/>
  <c r="M170"/>
  <c r="M169"/>
  <c r="M168"/>
  <c r="M167"/>
  <c r="M166"/>
  <c r="M165"/>
  <c r="M164"/>
  <c r="M163"/>
  <c r="M162"/>
  <c r="M161"/>
  <c r="M160"/>
  <c r="M159"/>
  <c r="M158"/>
  <c r="M157"/>
  <c r="M156"/>
  <c r="M155"/>
  <c r="M154"/>
  <c r="M153"/>
  <c r="M152"/>
  <c r="M151"/>
  <c r="M150"/>
  <c r="M149"/>
  <c r="M148"/>
  <c r="M147"/>
  <c r="M146"/>
  <c r="M145"/>
  <c r="M144"/>
  <c r="M143"/>
  <c r="M142"/>
  <c r="M141"/>
  <c r="M140"/>
  <c r="M139"/>
  <c r="M138"/>
  <c r="M137"/>
  <c r="M136"/>
  <c r="M135"/>
  <c r="M134"/>
  <c r="M133"/>
  <c r="M132"/>
  <c r="M131"/>
  <c r="M130"/>
  <c r="M129"/>
  <c r="M128"/>
  <c r="M127"/>
  <c r="M126"/>
  <c r="M125"/>
  <c r="M124"/>
  <c r="M123"/>
  <c r="M122"/>
  <c r="M121"/>
  <c r="M120"/>
  <c r="M119"/>
  <c r="M118"/>
  <c r="M117"/>
  <c r="M116"/>
  <c r="M115"/>
  <c r="M114"/>
  <c r="M113"/>
  <c r="M112"/>
  <c r="M111"/>
  <c r="M110"/>
  <c r="M109"/>
  <c r="M108"/>
  <c r="M107"/>
  <c r="M106"/>
  <c r="M105"/>
  <c r="M104"/>
  <c r="M103"/>
  <c r="M102"/>
  <c r="M101"/>
  <c r="M100"/>
  <c r="M99"/>
  <c r="M98"/>
  <c r="M97"/>
  <c r="M96"/>
  <c r="M95"/>
  <c r="M94"/>
  <c r="M93"/>
  <c r="M92"/>
  <c r="M91"/>
  <c r="M90"/>
  <c r="M89"/>
  <c r="M88"/>
  <c r="M87"/>
  <c r="M86"/>
  <c r="M85"/>
  <c r="M84"/>
  <c r="M83"/>
  <c r="M82"/>
  <c r="M81"/>
  <c r="M80"/>
  <c r="M79"/>
  <c r="M78"/>
  <c r="M77"/>
  <c r="M76"/>
  <c r="M75"/>
  <c r="M74"/>
  <c r="M73"/>
  <c r="M72"/>
  <c r="M71"/>
  <c r="M70"/>
  <c r="M69"/>
  <c r="M68"/>
  <c r="M67"/>
  <c r="M66"/>
  <c r="M65"/>
  <c r="M64"/>
  <c r="M63"/>
  <c r="M62"/>
  <c r="M61"/>
  <c r="M60"/>
  <c r="M59"/>
  <c r="M58"/>
  <c r="M57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</calcChain>
</file>

<file path=xl/sharedStrings.xml><?xml version="1.0" encoding="utf-8"?>
<sst xmlns="http://schemas.openxmlformats.org/spreadsheetml/2006/main" count="12095" uniqueCount="3262">
  <si>
    <t>Model</t>
  </si>
  <si>
    <t>Power</t>
  </si>
  <si>
    <t>Perform</t>
  </si>
  <si>
    <t>Ports</t>
  </si>
  <si>
    <t>n</t>
  </si>
  <si>
    <t>Impeller</t>
  </si>
  <si>
    <t>G.W</t>
  </si>
  <si>
    <t>Dim</t>
  </si>
  <si>
    <t>Price</t>
  </si>
  <si>
    <t>Q</t>
  </si>
  <si>
    <t>H</t>
  </si>
  <si>
    <t>US＄</t>
  </si>
  <si>
    <t>kw</t>
  </si>
  <si>
    <t>hp</t>
  </si>
  <si>
    <r>
      <t>m</t>
    </r>
    <r>
      <rPr>
        <sz val="10"/>
        <rFont val="Verdana"/>
        <family val="2"/>
      </rPr>
      <t>³</t>
    </r>
    <r>
      <rPr>
        <sz val="11"/>
        <rFont val="Verdana"/>
        <family val="2"/>
      </rPr>
      <t>/h</t>
    </r>
  </si>
  <si>
    <t>m</t>
  </si>
  <si>
    <t>mm</t>
  </si>
  <si>
    <t>rpm</t>
  </si>
  <si>
    <t>kg</t>
  </si>
  <si>
    <t>cbm</t>
  </si>
  <si>
    <t>CDM</t>
  </si>
  <si>
    <t>CDMF</t>
  </si>
  <si>
    <t>CDM 1-2</t>
  </si>
  <si>
    <t>25x25</t>
  </si>
  <si>
    <t>2xSS304</t>
  </si>
  <si>
    <t>CDM 1-3</t>
  </si>
  <si>
    <t>3xSS304</t>
  </si>
  <si>
    <t>CDM 1-4</t>
  </si>
  <si>
    <t>4xSS304</t>
  </si>
  <si>
    <t>CDM 1-5</t>
  </si>
  <si>
    <t>5xSS304</t>
  </si>
  <si>
    <t>CDM 1-6</t>
  </si>
  <si>
    <t>6xSS304</t>
  </si>
  <si>
    <t>CDM 1-7</t>
  </si>
  <si>
    <t>7xSS304</t>
  </si>
  <si>
    <t>CDM 1-8</t>
  </si>
  <si>
    <t>8xSS304</t>
  </si>
  <si>
    <t>CDM 1-9</t>
  </si>
  <si>
    <t>9xSS304</t>
  </si>
  <si>
    <t>CDM 1-10</t>
  </si>
  <si>
    <t>10xSS304</t>
  </si>
  <si>
    <t>CDM 1-11</t>
  </si>
  <si>
    <t>11xSS304</t>
  </si>
  <si>
    <t>CDM 1-12</t>
  </si>
  <si>
    <t>12xSS304</t>
  </si>
  <si>
    <t>CDM 1-13</t>
  </si>
  <si>
    <t>13xSS304</t>
  </si>
  <si>
    <t>CDM 1-15</t>
  </si>
  <si>
    <t>15xSS304</t>
  </si>
  <si>
    <t>CDM 1-17</t>
  </si>
  <si>
    <t>17xSS304</t>
  </si>
  <si>
    <t>CDM 1-19</t>
  </si>
  <si>
    <t>19xSS304</t>
  </si>
  <si>
    <t>CDM 1-21</t>
  </si>
  <si>
    <t>21xSS304</t>
  </si>
  <si>
    <t>CDM 1-22</t>
  </si>
  <si>
    <t>22xSS304</t>
  </si>
  <si>
    <t>CDM 1-23</t>
  </si>
  <si>
    <t>23xSS304</t>
  </si>
  <si>
    <t>CDM 1-25</t>
  </si>
  <si>
    <t>25xSS304</t>
  </si>
  <si>
    <t>CDM 1-27</t>
  </si>
  <si>
    <t>27xSS304</t>
  </si>
  <si>
    <t>CDM 1-30</t>
  </si>
  <si>
    <t>30xSS304</t>
  </si>
  <si>
    <t>CDM 1-32</t>
  </si>
  <si>
    <t>CDM 1-33</t>
  </si>
  <si>
    <t>33xSS304</t>
  </si>
  <si>
    <t>CDM 1-34</t>
  </si>
  <si>
    <t>CDM 1-36</t>
  </si>
  <si>
    <t>36xSS304</t>
  </si>
  <si>
    <t>CDM 1-38</t>
  </si>
  <si>
    <t>CDM 1-40</t>
  </si>
  <si>
    <t>CDM 3-2</t>
  </si>
  <si>
    <t>CDM 3-3</t>
  </si>
  <si>
    <t>CDM 3-4</t>
  </si>
  <si>
    <t>CDM 3-5</t>
  </si>
  <si>
    <t>CDM 3-6</t>
  </si>
  <si>
    <t>CDM 3-7</t>
  </si>
  <si>
    <t>CDM 3-8</t>
  </si>
  <si>
    <t>CDM 3-9</t>
  </si>
  <si>
    <t>CDM 3-10</t>
  </si>
  <si>
    <t>CDM 3-11</t>
  </si>
  <si>
    <t>CDM 3-12</t>
  </si>
  <si>
    <t>CDM 3-13</t>
  </si>
  <si>
    <t>CDM 3-14</t>
  </si>
  <si>
    <t>14xSS304</t>
  </si>
  <si>
    <t>CDM 3-15</t>
  </si>
  <si>
    <t>CDM 3-16</t>
  </si>
  <si>
    <t>16xSS304</t>
  </si>
  <si>
    <t>CDM 3-18</t>
  </si>
  <si>
    <t>18xSS304</t>
  </si>
  <si>
    <t>CDM 3-19</t>
  </si>
  <si>
    <t>CDM 3-20</t>
  </si>
  <si>
    <t>20xSS304</t>
  </si>
  <si>
    <t>CDM 3-21</t>
  </si>
  <si>
    <t>CDM 3-22</t>
  </si>
  <si>
    <t>CDM 3-23</t>
  </si>
  <si>
    <t>CDM 3-24</t>
  </si>
  <si>
    <t>CDM 3-25</t>
  </si>
  <si>
    <t>CDM 3-27</t>
  </si>
  <si>
    <t>CDM 3-28</t>
  </si>
  <si>
    <t>CDM 3-29</t>
  </si>
  <si>
    <t>29xSS304</t>
  </si>
  <si>
    <t>CDM 3-31</t>
  </si>
  <si>
    <t>31xSS304</t>
  </si>
  <si>
    <t>CDM 5-2</t>
  </si>
  <si>
    <t>32x32</t>
  </si>
  <si>
    <t>CDM 5-3</t>
  </si>
  <si>
    <t>CDM 5-4</t>
  </si>
  <si>
    <t>CDM 5-5</t>
  </si>
  <si>
    <t>CDM 5-6</t>
  </si>
  <si>
    <t>CDM 5-7</t>
  </si>
  <si>
    <t>CDM 5-8</t>
  </si>
  <si>
    <t>CDM 5-9</t>
  </si>
  <si>
    <t>CDM 5-10</t>
  </si>
  <si>
    <t>CDM 5-11</t>
  </si>
  <si>
    <t>CDM 5-12</t>
  </si>
  <si>
    <t>CDM 5-13</t>
  </si>
  <si>
    <t>CDM 5-14</t>
  </si>
  <si>
    <t>CDM 5-15</t>
  </si>
  <si>
    <t>CDM 5-16</t>
  </si>
  <si>
    <t>CDM 5-17</t>
  </si>
  <si>
    <t>CDM 5-18</t>
  </si>
  <si>
    <t>CDM 5-20</t>
  </si>
  <si>
    <t>CDM 5-21</t>
  </si>
  <si>
    <t>CDM 5-22</t>
  </si>
  <si>
    <t>CDM 5-23</t>
  </si>
  <si>
    <t>CDM 5-24</t>
  </si>
  <si>
    <t>CDM 5-25</t>
  </si>
  <si>
    <t>CDM 5-27</t>
  </si>
  <si>
    <t>CDM 5-28</t>
  </si>
  <si>
    <t>CDM 5-29</t>
  </si>
  <si>
    <t>CDM 5-30</t>
  </si>
  <si>
    <t>CDM 5-33</t>
  </si>
  <si>
    <t>CDM 10-1</t>
  </si>
  <si>
    <t>40x40</t>
  </si>
  <si>
    <t>1xSS304</t>
  </si>
  <si>
    <t>CDM 10-2</t>
  </si>
  <si>
    <t>CDM 10-3</t>
  </si>
  <si>
    <t>CDM 10-4</t>
  </si>
  <si>
    <t>CDM 10-5</t>
  </si>
  <si>
    <t>CDM 10-6</t>
  </si>
  <si>
    <t>CDM 10-7</t>
  </si>
  <si>
    <t>CDM 10-8</t>
  </si>
  <si>
    <t>CDM 10-9</t>
  </si>
  <si>
    <t>CDM 10-10</t>
  </si>
  <si>
    <t>CDM 10-11</t>
  </si>
  <si>
    <t>CDM 10-12</t>
  </si>
  <si>
    <t>CDM 10-13</t>
  </si>
  <si>
    <t>CDM 10-14</t>
  </si>
  <si>
    <t>CDM 10-15</t>
  </si>
  <si>
    <t>CDM 10-16</t>
  </si>
  <si>
    <t>CDM 10-17</t>
  </si>
  <si>
    <t>CDM 10-18</t>
  </si>
  <si>
    <t>CDM 10-19</t>
  </si>
  <si>
    <t>CDM 10-20</t>
  </si>
  <si>
    <t>CDM 10-21</t>
  </si>
  <si>
    <t>CDM 10-22</t>
  </si>
  <si>
    <t>CDM 15-1</t>
  </si>
  <si>
    <t>50x50</t>
  </si>
  <si>
    <t>CDM 15-2</t>
  </si>
  <si>
    <t>CDM 15-3</t>
  </si>
  <si>
    <t>CDM 15-4</t>
  </si>
  <si>
    <t>CDM 15-5</t>
  </si>
  <si>
    <t>CDM 15-6</t>
  </si>
  <si>
    <t>CDM 15-7</t>
  </si>
  <si>
    <t>CDM 15-8</t>
  </si>
  <si>
    <t>CDM 15-9</t>
  </si>
  <si>
    <t>CDM 15-10</t>
  </si>
  <si>
    <t>CDM 15-11</t>
  </si>
  <si>
    <t>CDM 15-12</t>
  </si>
  <si>
    <t>CDM 15-13</t>
  </si>
  <si>
    <t>CDM 15-14</t>
  </si>
  <si>
    <t>CDM 15-15</t>
  </si>
  <si>
    <t>CDM 15-16</t>
  </si>
  <si>
    <t>CDM 15-17</t>
  </si>
  <si>
    <t>CDM 15-18</t>
  </si>
  <si>
    <t>CDM 20-1</t>
  </si>
  <si>
    <t>CDM 20-2</t>
  </si>
  <si>
    <t>CDM 20-3</t>
  </si>
  <si>
    <t>CDM 20-4</t>
  </si>
  <si>
    <t>CDM 20-5</t>
  </si>
  <si>
    <t>CDM 20-6</t>
  </si>
  <si>
    <t>CDM 20-7</t>
  </si>
  <si>
    <t>CDM 20-8</t>
  </si>
  <si>
    <t>CDM 20-10</t>
  </si>
  <si>
    <t>CDM 20-12</t>
  </si>
  <si>
    <t>CDM 20-14</t>
  </si>
  <si>
    <t>CDM 20-17</t>
  </si>
  <si>
    <t>Pump Case</t>
  </si>
  <si>
    <t>Stainless Steel 304</t>
  </si>
  <si>
    <t>Shaft</t>
  </si>
  <si>
    <t>Seal</t>
  </si>
  <si>
    <t>Bearing</t>
  </si>
  <si>
    <t>High quality bearing</t>
  </si>
  <si>
    <r>
      <t>CDL(F)</t>
    </r>
    <r>
      <rPr>
        <b/>
        <sz val="20"/>
        <color indexed="9"/>
        <rFont val="Tahoma"/>
        <family val="2"/>
        <charset val="204"/>
      </rPr>
      <t xml:space="preserve">  </t>
    </r>
    <r>
      <rPr>
        <b/>
        <sz val="18"/>
        <color indexed="9"/>
        <rFont val="Tahoma"/>
        <family val="2"/>
        <charset val="204"/>
      </rPr>
      <t>SS304 vertical multistage pump</t>
    </r>
  </si>
  <si>
    <t>CDL</t>
  </si>
  <si>
    <t>CDLF</t>
  </si>
  <si>
    <t>CDL 1-2</t>
  </si>
  <si>
    <t>CDL 1-3</t>
  </si>
  <si>
    <t>CDL 1-4</t>
  </si>
  <si>
    <t>CDL 1-5</t>
  </si>
  <si>
    <t>CDL 1-6</t>
  </si>
  <si>
    <t>CDL 1-7</t>
  </si>
  <si>
    <t>CDL 1-8</t>
  </si>
  <si>
    <t>CDL 1-9</t>
  </si>
  <si>
    <t>CDL 1-10</t>
  </si>
  <si>
    <t>CDL 1-11</t>
  </si>
  <si>
    <t>CDL 1-12</t>
  </si>
  <si>
    <t>CDL 1-13</t>
  </si>
  <si>
    <t>CDL 1-15</t>
  </si>
  <si>
    <t>CDL 1-17</t>
  </si>
  <si>
    <t>CDL 1-19</t>
  </si>
  <si>
    <t>CDL 1-21</t>
  </si>
  <si>
    <t>CDL 1-23</t>
  </si>
  <si>
    <t>CDL 1-25</t>
  </si>
  <si>
    <t>CDL 1-27</t>
  </si>
  <si>
    <t>CDL 1-30</t>
  </si>
  <si>
    <t>CDL 1-33</t>
  </si>
  <si>
    <t>CDL 1-36</t>
  </si>
  <si>
    <t>CDL 2-2</t>
  </si>
  <si>
    <t>CDL 2-3</t>
  </si>
  <si>
    <t>CDL 2-4</t>
  </si>
  <si>
    <t>CDL 2-5</t>
  </si>
  <si>
    <t>CDL 2-6</t>
  </si>
  <si>
    <t>CDL 2-7</t>
  </si>
  <si>
    <t>CDL 2-9</t>
  </si>
  <si>
    <t>CDL 2-11</t>
  </si>
  <si>
    <t>CDL 2-13</t>
  </si>
  <si>
    <t>CDL 2-15</t>
  </si>
  <si>
    <t>CDL 2-18</t>
  </si>
  <si>
    <t>CDL 2-22</t>
  </si>
  <si>
    <t>CDL 2-26</t>
  </si>
  <si>
    <t>26xSS304</t>
  </si>
  <si>
    <t>CDL 3-2</t>
  </si>
  <si>
    <t>CDL 3-3</t>
  </si>
  <si>
    <t>CDL 3-4</t>
  </si>
  <si>
    <t>CDL 3-5</t>
  </si>
  <si>
    <t>CDL 3-6</t>
  </si>
  <si>
    <t>CDL 3-7</t>
  </si>
  <si>
    <t>CDL 3-8</t>
  </si>
  <si>
    <t>CDL 3-9</t>
  </si>
  <si>
    <t>CDL 3-10</t>
  </si>
  <si>
    <t>CDL 3-11</t>
  </si>
  <si>
    <t>CDL 3-12</t>
  </si>
  <si>
    <t>CDL 3-13</t>
  </si>
  <si>
    <t>CDL 3-15</t>
  </si>
  <si>
    <t>CDL 3-17</t>
  </si>
  <si>
    <t>CDL 3-19</t>
  </si>
  <si>
    <t>CDL 3-21</t>
  </si>
  <si>
    <t>CDL 3-23</t>
  </si>
  <si>
    <t>CDL 3-25</t>
  </si>
  <si>
    <t>CDL 3-27</t>
  </si>
  <si>
    <t>CDL 3-29</t>
  </si>
  <si>
    <t>CDL 3-31</t>
  </si>
  <si>
    <t>CDL 3-33</t>
  </si>
  <si>
    <t>CDL 3-36</t>
  </si>
  <si>
    <t>CDL 4-2</t>
  </si>
  <si>
    <t>CDL 4-3</t>
  </si>
  <si>
    <t>CDL 4-4</t>
  </si>
  <si>
    <t>CDL 4-5</t>
  </si>
  <si>
    <t>CDL 4-6</t>
  </si>
  <si>
    <t>CDL 4-7</t>
  </si>
  <si>
    <t>CDL 4-8</t>
  </si>
  <si>
    <t>CDL 4-10</t>
  </si>
  <si>
    <t>CDL 4-12</t>
  </si>
  <si>
    <t>CDL 4-14</t>
  </si>
  <si>
    <t>CDL 4-16</t>
  </si>
  <si>
    <t>CDL 4-19</t>
  </si>
  <si>
    <t>CDL 4-22</t>
  </si>
  <si>
    <t>CDL 8-2-1</t>
  </si>
  <si>
    <t>CDL 8-2</t>
  </si>
  <si>
    <t>CDL 8-3</t>
  </si>
  <si>
    <t>CDL 8-4</t>
  </si>
  <si>
    <t>CDL 8-5</t>
  </si>
  <si>
    <t>CDL 8-6</t>
  </si>
  <si>
    <t>CDL 8-8</t>
  </si>
  <si>
    <t>CDL 8-10</t>
  </si>
  <si>
    <t>CDL 8-12</t>
  </si>
  <si>
    <t>CDL 8-14</t>
  </si>
  <si>
    <t>CDL 8-16</t>
  </si>
  <si>
    <t>CDL 8-18</t>
  </si>
  <si>
    <t>CDL 8-20</t>
  </si>
  <si>
    <t>CDL 10-1</t>
  </si>
  <si>
    <t>CDL 10-2</t>
  </si>
  <si>
    <t>CDL 10-3</t>
  </si>
  <si>
    <t>CDL 10-4</t>
  </si>
  <si>
    <t>CDL 10-5</t>
  </si>
  <si>
    <t>CDL 10-6</t>
  </si>
  <si>
    <t>CDL 10-7</t>
  </si>
  <si>
    <t>CDL 10-8</t>
  </si>
  <si>
    <t>CDL 10-9</t>
  </si>
  <si>
    <t>CDL 10-10</t>
  </si>
  <si>
    <t>CDL 10-12</t>
  </si>
  <si>
    <t>CDL 10-14</t>
  </si>
  <si>
    <t>CDL 10-16</t>
  </si>
  <si>
    <t>CDL 10-18</t>
  </si>
  <si>
    <t>CDL 10-20</t>
  </si>
  <si>
    <t>CDL 10-22</t>
  </si>
  <si>
    <t>CDL 12-2</t>
  </si>
  <si>
    <t>CDL 12-3</t>
  </si>
  <si>
    <t>CDL 12-4</t>
  </si>
  <si>
    <t>CDL 12-5</t>
  </si>
  <si>
    <t>CDL 12-6</t>
  </si>
  <si>
    <t>CDL 12-7</t>
  </si>
  <si>
    <t>CDL 12-8</t>
  </si>
  <si>
    <t>CDL 12-9</t>
  </si>
  <si>
    <t>CDL 12-10</t>
  </si>
  <si>
    <t>CDL 12-12</t>
  </si>
  <si>
    <t>CDL 12-14</t>
  </si>
  <si>
    <t>CDL 12-16</t>
  </si>
  <si>
    <t>CDL 12-18</t>
  </si>
  <si>
    <t>CDL 16-2</t>
  </si>
  <si>
    <t>CDL 16-3</t>
  </si>
  <si>
    <t>CDL 16-4</t>
  </si>
  <si>
    <t>CDL 16-5</t>
  </si>
  <si>
    <t>CDL 16-6</t>
  </si>
  <si>
    <t>CDL 16-7</t>
  </si>
  <si>
    <t>CDL 16-8</t>
  </si>
  <si>
    <t>CDL 16-10</t>
  </si>
  <si>
    <t>CDL 16-12</t>
  </si>
  <si>
    <t>CDL 16-14</t>
  </si>
  <si>
    <t>CDL 16-16</t>
  </si>
  <si>
    <t>CDL 20-1</t>
  </si>
  <si>
    <t>CDL 20-2</t>
  </si>
  <si>
    <t>CDL 20-3</t>
  </si>
  <si>
    <t>CDL 20-4</t>
  </si>
  <si>
    <t>CDL 20-5</t>
  </si>
  <si>
    <t>CDL 20-6</t>
  </si>
  <si>
    <t>CDL 20-7</t>
  </si>
  <si>
    <t>CDL 20-8</t>
  </si>
  <si>
    <t>CDL 20-10</t>
  </si>
  <si>
    <t>CDL 20-12</t>
  </si>
  <si>
    <t>CDL 20-14</t>
  </si>
  <si>
    <t>CDL 20-17</t>
  </si>
  <si>
    <t>CDL 32-10-1</t>
  </si>
  <si>
    <t>65x65</t>
  </si>
  <si>
    <t>CDL 32-10</t>
  </si>
  <si>
    <t>CDL 32-20-2</t>
  </si>
  <si>
    <t>CDL 32-20</t>
  </si>
  <si>
    <t>CDL 32-30-2</t>
  </si>
  <si>
    <t>CDL 32-30</t>
  </si>
  <si>
    <t>CDL 32-40-2</t>
  </si>
  <si>
    <t>CDL 32-40</t>
  </si>
  <si>
    <t>CDL 32-50-2</t>
  </si>
  <si>
    <t>CDL 32-50</t>
  </si>
  <si>
    <t>CDL 32-60-2</t>
  </si>
  <si>
    <t>CDL 32-60</t>
  </si>
  <si>
    <t>CDL 32-70-2</t>
  </si>
  <si>
    <t>CDL 32-70</t>
  </si>
  <si>
    <t>CDL 32-80-2</t>
  </si>
  <si>
    <t>CDL 32-80</t>
  </si>
  <si>
    <t>CDL 32-90-2</t>
  </si>
  <si>
    <t>CDL 32-90</t>
  </si>
  <si>
    <t>CDL 32-100-2</t>
  </si>
  <si>
    <t>CDL 32-100</t>
  </si>
  <si>
    <t>CDL 32-110-2</t>
  </si>
  <si>
    <t>CDL 32-110</t>
  </si>
  <si>
    <t>CDL 32-120-2</t>
  </si>
  <si>
    <t>CDL 32-120</t>
  </si>
  <si>
    <t>CDL 32-130-2</t>
  </si>
  <si>
    <t>CDL 32-130</t>
  </si>
  <si>
    <t>CDL 32-140-2</t>
  </si>
  <si>
    <t>CDL 32-140</t>
  </si>
  <si>
    <t>CDL 32-150-2</t>
  </si>
  <si>
    <t>CDL 32-150</t>
  </si>
  <si>
    <t>CDL 32-160-2</t>
  </si>
  <si>
    <t>CDL 32-160</t>
  </si>
  <si>
    <t>CDL 45-10-1</t>
  </si>
  <si>
    <t>80x80</t>
  </si>
  <si>
    <t>CDL 45-10</t>
  </si>
  <si>
    <t>CDL 45-20-2</t>
  </si>
  <si>
    <t>CDL 45-20</t>
  </si>
  <si>
    <t>CDL 45-30-2</t>
  </si>
  <si>
    <t>CDL 45-30</t>
  </si>
  <si>
    <t>CDL 45-40-2</t>
  </si>
  <si>
    <t>CDL 45-40</t>
  </si>
  <si>
    <t>CDL 45-50-2</t>
  </si>
  <si>
    <t>CDL 45-50</t>
  </si>
  <si>
    <t>CDL 45-60-2</t>
  </si>
  <si>
    <t>CDL 45-60</t>
  </si>
  <si>
    <t>CDL 45-70-2</t>
  </si>
  <si>
    <t>CDL 45-70</t>
  </si>
  <si>
    <t>CDL 45-80-2</t>
  </si>
  <si>
    <t>CDL 45-80</t>
  </si>
  <si>
    <t>CDL 45-90-2</t>
  </si>
  <si>
    <t>CDL 45-90</t>
  </si>
  <si>
    <t>CDL 45-100-2</t>
  </si>
  <si>
    <t>CDL 45-100</t>
  </si>
  <si>
    <t>CDL 45-110-2</t>
  </si>
  <si>
    <t>CDL 45-110</t>
  </si>
  <si>
    <t>CDL 45-120-2</t>
  </si>
  <si>
    <t>CDL 45-120</t>
  </si>
  <si>
    <t>CDL 45-130-2</t>
  </si>
  <si>
    <t>CDL 64-10-1</t>
  </si>
  <si>
    <t>100x100</t>
  </si>
  <si>
    <t>CDL 64-10</t>
  </si>
  <si>
    <t>CDL 64-20-2</t>
  </si>
  <si>
    <t>CDL 64-20-1</t>
  </si>
  <si>
    <t>CDL 64-20</t>
  </si>
  <si>
    <t>CDL 64-30-2</t>
  </si>
  <si>
    <t>CDL 64-30-1</t>
  </si>
  <si>
    <t>CDL 64-30</t>
  </si>
  <si>
    <t>CDL 64-40-2</t>
  </si>
  <si>
    <t>CDL 64-40-1</t>
  </si>
  <si>
    <t>CDL 64-40</t>
  </si>
  <si>
    <t>CDL 64-50-2</t>
  </si>
  <si>
    <t>CDL 64-50-1</t>
  </si>
  <si>
    <t>CDL 64-50</t>
  </si>
  <si>
    <t>CDL 64-60-2</t>
  </si>
  <si>
    <t>CDL 64-60-1</t>
  </si>
  <si>
    <t>CDL 64-60</t>
  </si>
  <si>
    <t>CDL 64-70-2</t>
  </si>
  <si>
    <t>CDL 64-70-1</t>
  </si>
  <si>
    <t>CDL 64-70</t>
  </si>
  <si>
    <t>CDL 64-80-2</t>
  </si>
  <si>
    <t>CDL 64-80-1</t>
  </si>
  <si>
    <t>CDL 90-10-1</t>
  </si>
  <si>
    <t>CDL 90-10</t>
  </si>
  <si>
    <t>CDL 90-20-2</t>
  </si>
  <si>
    <t>CDL 90-20</t>
  </si>
  <si>
    <t>CDL 90-30-2</t>
  </si>
  <si>
    <t>CDL 90-30</t>
  </si>
  <si>
    <t>CDL 90-40-2</t>
  </si>
  <si>
    <t>CDL 90-40</t>
  </si>
  <si>
    <t>CDL 90-50-2</t>
  </si>
  <si>
    <t>CDL 90-50</t>
  </si>
  <si>
    <t>CDL 90-60-2</t>
  </si>
  <si>
    <t>CDL 90-60</t>
  </si>
  <si>
    <t>CDL 120-10</t>
  </si>
  <si>
    <t>125x125</t>
  </si>
  <si>
    <t>CDL 120-20-2</t>
  </si>
  <si>
    <t>CDL 120-20-1</t>
  </si>
  <si>
    <t>CDL 120-20</t>
  </si>
  <si>
    <t>CDL 120-30-2</t>
  </si>
  <si>
    <t>CDL 120-30-1</t>
  </si>
  <si>
    <t>CDL 120-30</t>
  </si>
  <si>
    <t>CDL 120-40-2</t>
  </si>
  <si>
    <t>CDL 120-40-1</t>
  </si>
  <si>
    <t>CDL 120-40</t>
  </si>
  <si>
    <t>CDL 120-50-2</t>
  </si>
  <si>
    <t>CDL 120-50-1</t>
  </si>
  <si>
    <t>CDL 120-50</t>
  </si>
  <si>
    <t>CDL 120-60-2</t>
  </si>
  <si>
    <t>CDL 120-60-1</t>
  </si>
  <si>
    <t>CDL 120-60</t>
  </si>
  <si>
    <t>CDL 120-70-2</t>
  </si>
  <si>
    <t>CDL 120-70-1</t>
  </si>
  <si>
    <t>CDL 120-70</t>
  </si>
  <si>
    <t>CDL 150-10-1</t>
  </si>
  <si>
    <t>CDL 150-10</t>
  </si>
  <si>
    <t>CDL 150-20-2</t>
  </si>
  <si>
    <t>CDL 150-20-1</t>
  </si>
  <si>
    <t>CDL 150-20</t>
  </si>
  <si>
    <t>CDL 150-30-2</t>
  </si>
  <si>
    <t>CDL 150-30-1</t>
  </si>
  <si>
    <t>CDL 150-30</t>
  </si>
  <si>
    <t>CDL 150-40-2</t>
  </si>
  <si>
    <t>CDL 150-40-1</t>
  </si>
  <si>
    <t>CDL 150-40</t>
  </si>
  <si>
    <t>CDL 150-50-2</t>
  </si>
  <si>
    <t>CDL 150-50-1</t>
  </si>
  <si>
    <t>CDL 150-50</t>
  </si>
  <si>
    <t>CDL 150-60-2</t>
  </si>
  <si>
    <t>CDL 150-60-1</t>
  </si>
  <si>
    <t>CDL 150-60</t>
  </si>
  <si>
    <t>CDL 200-10-B</t>
  </si>
  <si>
    <t>150x150</t>
  </si>
  <si>
    <t>CDL 200-10-A</t>
  </si>
  <si>
    <t>CDL 200-10</t>
  </si>
  <si>
    <t>CDL 200-20-2B</t>
  </si>
  <si>
    <t>CDL 200-20-2A</t>
  </si>
  <si>
    <t>CDL 200-20-A</t>
  </si>
  <si>
    <t>CDL 200-20</t>
  </si>
  <si>
    <t>CDL 200-30-2B</t>
  </si>
  <si>
    <t>CDL 200-30-A-B</t>
  </si>
  <si>
    <t>CDL 200-30-2A</t>
  </si>
  <si>
    <t>CDL 200-30-B</t>
  </si>
  <si>
    <t>CDL 200-30-A</t>
  </si>
  <si>
    <t>CDL 200-30</t>
  </si>
  <si>
    <t>CDL 200-40-2B</t>
  </si>
  <si>
    <t>CDL 200-40-2A</t>
  </si>
  <si>
    <t>CDL 200-40-A</t>
  </si>
  <si>
    <t>CDL 200-40</t>
  </si>
  <si>
    <r>
      <t>FV</t>
    </r>
    <r>
      <rPr>
        <b/>
        <sz val="20"/>
        <color indexed="9"/>
        <rFont val="Tahoma"/>
        <family val="2"/>
        <charset val="204"/>
      </rPr>
      <t xml:space="preserve">  </t>
    </r>
    <r>
      <rPr>
        <b/>
        <sz val="18"/>
        <color indexed="9"/>
        <rFont val="Tahoma"/>
        <family val="2"/>
        <charset val="204"/>
      </rPr>
      <t>Multi-Stage Jockey pump</t>
    </r>
  </si>
  <si>
    <t>1-Ph</t>
  </si>
  <si>
    <t>3-Ph</t>
  </si>
  <si>
    <t>FV 4×7/1.5</t>
  </si>
  <si>
    <t>25×25</t>
  </si>
  <si>
    <t>7xPPO</t>
  </si>
  <si>
    <t>FV 4×9/2</t>
  </si>
  <si>
    <t>9xPPO</t>
  </si>
  <si>
    <t>FV 4×13/3</t>
  </si>
  <si>
    <t>13xPPO</t>
  </si>
  <si>
    <t>FV 4×16/4</t>
  </si>
  <si>
    <t>16xPPO</t>
  </si>
  <si>
    <t>FV 6×5/1.5</t>
  </si>
  <si>
    <t>32×32</t>
  </si>
  <si>
    <t>5xPPO</t>
  </si>
  <si>
    <t>FV 6×8/2</t>
  </si>
  <si>
    <t>8xPPO</t>
  </si>
  <si>
    <t>FV 6×11/3</t>
  </si>
  <si>
    <t>11xPPO</t>
  </si>
  <si>
    <t>FV 6×15/4</t>
  </si>
  <si>
    <t>15xPPO</t>
  </si>
  <si>
    <t>FV 8×4/1.5</t>
  </si>
  <si>
    <t>40×40</t>
  </si>
  <si>
    <t>4xPPO</t>
  </si>
  <si>
    <t>FV 8×7/2</t>
  </si>
  <si>
    <t>FV 8×9/3</t>
  </si>
  <si>
    <t>FV 8×12/4</t>
  </si>
  <si>
    <t>12xPPO</t>
  </si>
  <si>
    <t>FV 8×16/5.5</t>
  </si>
  <si>
    <t>FV 12×3/1.5</t>
  </si>
  <si>
    <t>50×50</t>
  </si>
  <si>
    <t>3xPPO</t>
  </si>
  <si>
    <t>FV 12×5/2</t>
  </si>
  <si>
    <t>FV 12×7/3</t>
  </si>
  <si>
    <t>FV 12×9/4</t>
  </si>
  <si>
    <t>FV 12×12/5.5</t>
  </si>
  <si>
    <t>FV 12×17/7.5</t>
  </si>
  <si>
    <t>17xPPO</t>
  </si>
  <si>
    <t>FV 30×7/10</t>
  </si>
  <si>
    <t>65×65</t>
  </si>
  <si>
    <t>FV 30×9/12</t>
  </si>
  <si>
    <t>FV 30×11/15</t>
  </si>
  <si>
    <t>Anti-corrosive coating cast iron</t>
  </si>
  <si>
    <t xml:space="preserve">Mechanical Seal,Carbon-SiC-NBR </t>
  </si>
  <si>
    <t>Flange</t>
  </si>
  <si>
    <t>Suction and discharge port in G20 thread</t>
  </si>
  <si>
    <r>
      <t>CM</t>
    </r>
    <r>
      <rPr>
        <b/>
        <sz val="20"/>
        <color indexed="9"/>
        <rFont val="Tahoma"/>
        <family val="2"/>
        <charset val="204"/>
      </rPr>
      <t xml:space="preserve">  </t>
    </r>
    <r>
      <rPr>
        <b/>
        <sz val="18"/>
        <color indexed="9"/>
        <rFont val="Tahoma"/>
        <family val="2"/>
        <charset val="204"/>
      </rPr>
      <t>SS304 horizontal multistage pump</t>
    </r>
  </si>
  <si>
    <t>CM2-2</t>
  </si>
  <si>
    <t>CM2-3</t>
  </si>
  <si>
    <t>CM2-4</t>
  </si>
  <si>
    <t>CM2-5</t>
  </si>
  <si>
    <t>CM2-6</t>
  </si>
  <si>
    <t>CM4-2</t>
  </si>
  <si>
    <t>32x25</t>
  </si>
  <si>
    <t>CM4-3</t>
  </si>
  <si>
    <t>CM4-4</t>
  </si>
  <si>
    <t>CM4-5</t>
  </si>
  <si>
    <t>CM4-6</t>
  </si>
  <si>
    <t>CM8-1</t>
  </si>
  <si>
    <t>CM8-2</t>
  </si>
  <si>
    <t>CM8-3</t>
  </si>
  <si>
    <t>CM8-4</t>
  </si>
  <si>
    <t>CM8-5</t>
  </si>
  <si>
    <t>CM8-6</t>
  </si>
  <si>
    <t>CM12-1</t>
  </si>
  <si>
    <t>CM12-2</t>
  </si>
  <si>
    <t>CM12-3</t>
  </si>
  <si>
    <t>CM12-4</t>
  </si>
  <si>
    <t>CM12-5</t>
  </si>
  <si>
    <t>CM12-6</t>
  </si>
  <si>
    <t>CM16-1</t>
  </si>
  <si>
    <t>CM16-2</t>
  </si>
  <si>
    <t>CM16-3</t>
  </si>
  <si>
    <t>CM16-4</t>
  </si>
  <si>
    <t>CM20-1</t>
  </si>
  <si>
    <t>CM20-2</t>
  </si>
  <si>
    <t>CM20-3</t>
  </si>
  <si>
    <t>CM20-4</t>
  </si>
  <si>
    <t>Mechanical Seal,SiC/Carbon/SS304</t>
  </si>
  <si>
    <r>
      <t xml:space="preserve">MS  </t>
    </r>
    <r>
      <rPr>
        <b/>
        <sz val="18"/>
        <color indexed="9"/>
        <rFont val="Tahoma"/>
        <family val="2"/>
        <charset val="204"/>
      </rPr>
      <t>SS304 horizontal single-stage pump</t>
    </r>
  </si>
  <si>
    <t>MS60/0.37</t>
  </si>
  <si>
    <t>SS304</t>
  </si>
  <si>
    <t>MS60/0.55</t>
  </si>
  <si>
    <t>MS60/0.75</t>
  </si>
  <si>
    <t>MS100/0.55</t>
  </si>
  <si>
    <t>MS100/1.1</t>
  </si>
  <si>
    <t>MS160/0.75</t>
  </si>
  <si>
    <t>40x32</t>
  </si>
  <si>
    <t>MS160/1.1</t>
  </si>
  <si>
    <t>MS250/1.1</t>
  </si>
  <si>
    <t>MS250/1.5</t>
  </si>
  <si>
    <t>MS250/2.2</t>
  </si>
  <si>
    <t>MS330/1.5</t>
  </si>
  <si>
    <t>50x32</t>
  </si>
  <si>
    <t>MS330/2.2</t>
  </si>
  <si>
    <r>
      <t xml:space="preserve">CHL  </t>
    </r>
    <r>
      <rPr>
        <b/>
        <sz val="18"/>
        <color indexed="9"/>
        <rFont val="Tahoma"/>
        <family val="2"/>
        <charset val="204"/>
      </rPr>
      <t>SS304 horizontal multistage pump</t>
    </r>
  </si>
  <si>
    <t>CHL2-2</t>
  </si>
  <si>
    <t>CHL2-3</t>
  </si>
  <si>
    <t>CHL2-4</t>
  </si>
  <si>
    <t>CHL2-5</t>
  </si>
  <si>
    <t>CHL2-6</t>
  </si>
  <si>
    <t>CHL4-2</t>
  </si>
  <si>
    <t>CHL4-3</t>
  </si>
  <si>
    <t>CHL4-4</t>
  </si>
  <si>
    <t>CHL8-1</t>
  </si>
  <si>
    <t>CHL8-2</t>
  </si>
  <si>
    <t>CHL8-3</t>
  </si>
  <si>
    <t>CHL8-4</t>
  </si>
  <si>
    <t>CHL8-5</t>
  </si>
  <si>
    <t>CHL12-1</t>
  </si>
  <si>
    <t>CHL12-2</t>
  </si>
  <si>
    <t>CHL12-3</t>
  </si>
  <si>
    <t>CHL12-4</t>
  </si>
  <si>
    <t>CHL12-5</t>
  </si>
  <si>
    <t>CHL16-1</t>
  </si>
  <si>
    <t>CHL16-2</t>
  </si>
  <si>
    <t>CHL16-3</t>
  </si>
  <si>
    <t>CHL20-1</t>
  </si>
  <si>
    <t>CHL20-2</t>
  </si>
  <si>
    <t>CHL20-3</t>
  </si>
  <si>
    <r>
      <t xml:space="preserve">CHLF  </t>
    </r>
    <r>
      <rPr>
        <b/>
        <sz val="18"/>
        <color indexed="9"/>
        <rFont val="Tahoma"/>
        <family val="2"/>
        <charset val="204"/>
      </rPr>
      <t>SS304 horizontal multistage pump</t>
    </r>
  </si>
  <si>
    <t>CHLF2-2</t>
  </si>
  <si>
    <t>CHLF2-3</t>
  </si>
  <si>
    <t>CHLF2-4</t>
  </si>
  <si>
    <t>CHLF2-5</t>
  </si>
  <si>
    <t>CHLF2-6</t>
  </si>
  <si>
    <t>CHLF4-2</t>
  </si>
  <si>
    <t>CHLF4-3</t>
  </si>
  <si>
    <t>CHLF4-4</t>
  </si>
  <si>
    <t>CHLF4-5</t>
  </si>
  <si>
    <t>CHLF4-6</t>
  </si>
  <si>
    <t>CHLF8-1</t>
  </si>
  <si>
    <t>CHLF8-2</t>
  </si>
  <si>
    <t>CHLF8-3</t>
  </si>
  <si>
    <t>CHLF8-4</t>
  </si>
  <si>
    <t>CHLF8-5</t>
  </si>
  <si>
    <t>CHLF12-1</t>
  </si>
  <si>
    <t>CHLF12-2</t>
  </si>
  <si>
    <t>CHLF12-3</t>
  </si>
  <si>
    <t>CHLF12-4</t>
  </si>
  <si>
    <t>CHLF12-5</t>
  </si>
  <si>
    <t>CHLF16-1</t>
  </si>
  <si>
    <t>CHLF16-2</t>
  </si>
  <si>
    <t>CHLF16-3</t>
  </si>
  <si>
    <t>CHLF16-4</t>
  </si>
  <si>
    <t>CHLF20-1</t>
  </si>
  <si>
    <t>CHLF20-2</t>
  </si>
  <si>
    <t>CHLF20-3</t>
  </si>
  <si>
    <t>CHLF20-4</t>
  </si>
  <si>
    <r>
      <t xml:space="preserve">CHLFT  </t>
    </r>
    <r>
      <rPr>
        <b/>
        <sz val="18"/>
        <color indexed="9"/>
        <rFont val="Tahoma"/>
        <family val="2"/>
        <charset val="204"/>
      </rPr>
      <t>SS304 horizontal multistage pump</t>
    </r>
  </si>
  <si>
    <t>CHLFT2-2</t>
  </si>
  <si>
    <t>CHLFT2-3</t>
  </si>
  <si>
    <t>CHLFT2-4</t>
  </si>
  <si>
    <t>CHLFT2-5</t>
  </si>
  <si>
    <t>CHLFT2-6</t>
  </si>
  <si>
    <t>CHLFT4-2</t>
  </si>
  <si>
    <t>CHLFT4-3</t>
  </si>
  <si>
    <t>CHLFT4-4</t>
  </si>
  <si>
    <t>CHLFT4-5</t>
  </si>
  <si>
    <t>CHLFT4-6</t>
  </si>
  <si>
    <t>CHLFT8-1</t>
  </si>
  <si>
    <t>CHLFT8-2</t>
  </si>
  <si>
    <t>CHLFT8-3</t>
  </si>
  <si>
    <t>CHLFT8-4</t>
  </si>
  <si>
    <t>CHLFT8-5</t>
  </si>
  <si>
    <t>CHLFT12-1</t>
  </si>
  <si>
    <t>CHLFT12-2</t>
  </si>
  <si>
    <t>CHLFT12-3</t>
  </si>
  <si>
    <t>CHLFT12-4</t>
  </si>
  <si>
    <t>CHLFT12-5</t>
  </si>
  <si>
    <t>CHLFT16-1</t>
  </si>
  <si>
    <t>CHLFT16-2</t>
  </si>
  <si>
    <t>CHLFT16-3</t>
  </si>
  <si>
    <t>CHLFT16-4</t>
  </si>
  <si>
    <t>CHLFT20-1</t>
  </si>
  <si>
    <t>CHLFT20-2</t>
  </si>
  <si>
    <t>CHLFT20-3</t>
  </si>
  <si>
    <t>CHLFT20-4</t>
  </si>
  <si>
    <t>FZ 32-160/11</t>
  </si>
  <si>
    <t>50×32</t>
  </si>
  <si>
    <t>FZ 32-160/15</t>
  </si>
  <si>
    <t>FZ 32-160/22</t>
  </si>
  <si>
    <t>FZ 32-200/30</t>
  </si>
  <si>
    <t>FZ 32-200/40</t>
  </si>
  <si>
    <t>FZ 32-200/55</t>
  </si>
  <si>
    <t>FZ 40-125/15</t>
  </si>
  <si>
    <t>65×40</t>
  </si>
  <si>
    <t>FZ 40-125/22</t>
  </si>
  <si>
    <t>FZ</t>
  </si>
  <si>
    <t>FZ 40-160/30</t>
  </si>
  <si>
    <t>FZ 40-160/40</t>
  </si>
  <si>
    <t>FZ 40-200/55</t>
  </si>
  <si>
    <t>FZ 40-200/75</t>
  </si>
  <si>
    <t>FZ 40-200/110</t>
  </si>
  <si>
    <t>FZ 50-125/22</t>
  </si>
  <si>
    <t>65×50</t>
  </si>
  <si>
    <t>FZ 50-125/30</t>
  </si>
  <si>
    <t>FZ 50-125/40</t>
  </si>
  <si>
    <t>FZ 50-160/55</t>
  </si>
  <si>
    <t>FZ 50-160/75</t>
  </si>
  <si>
    <t>FZ 50-200/92</t>
  </si>
  <si>
    <t>FZ 50-200/110</t>
  </si>
  <si>
    <t>FZ 50-200/150</t>
  </si>
  <si>
    <t>FZ 65-125/40</t>
  </si>
  <si>
    <t>80×65</t>
  </si>
  <si>
    <t>FZ 65-125/55</t>
  </si>
  <si>
    <t>FZ 65-125/75</t>
  </si>
  <si>
    <t>FZ 65-160/92</t>
  </si>
  <si>
    <t>FZ 65-160/110</t>
  </si>
  <si>
    <t>FZ 65-160/150</t>
  </si>
  <si>
    <t>FZ 65-200/150</t>
  </si>
  <si>
    <t>FZ 65-200/185</t>
  </si>
  <si>
    <t>FZ 65-200/220</t>
  </si>
  <si>
    <t>FZ 80-160/110</t>
  </si>
  <si>
    <t>100×80</t>
  </si>
  <si>
    <t>FZ 80-160/150</t>
  </si>
  <si>
    <t>FZ 80-160/185</t>
  </si>
  <si>
    <t>FZ 80-200/220</t>
  </si>
  <si>
    <t>FZ 80-200/300</t>
  </si>
  <si>
    <t>FZ 80-200/370</t>
  </si>
  <si>
    <t>Mechanical Seal,SiC/Carbon/Viton</t>
  </si>
  <si>
    <t>EN733</t>
  </si>
  <si>
    <t>Cast iron</t>
  </si>
  <si>
    <t>Chrome Plating Steel</t>
  </si>
  <si>
    <t>Mechanical Seal, Carbon-SiC-NBR</t>
  </si>
  <si>
    <t>Galvanized counter flange with bolts, screws and gaskets</t>
  </si>
  <si>
    <t>80x65</t>
  </si>
  <si>
    <t>100x80</t>
  </si>
  <si>
    <t>125x100</t>
  </si>
  <si>
    <t>150x125</t>
  </si>
  <si>
    <t>200x150</t>
  </si>
  <si>
    <r>
      <t xml:space="preserve">FS  </t>
    </r>
    <r>
      <rPr>
        <b/>
        <sz val="18"/>
        <color indexed="9"/>
        <rFont val="Tahoma"/>
        <family val="2"/>
        <charset val="204"/>
      </rPr>
      <t>Bare shaft end suction pump</t>
    </r>
  </si>
  <si>
    <t>FSM</t>
  </si>
  <si>
    <t>250x200</t>
  </si>
  <si>
    <t>300x250</t>
  </si>
  <si>
    <r>
      <t xml:space="preserve">FTD  </t>
    </r>
    <r>
      <rPr>
        <b/>
        <sz val="18"/>
        <color indexed="9"/>
        <rFont val="Tahoma"/>
        <family val="2"/>
        <charset val="204"/>
      </rPr>
      <t>Inline circulation pump</t>
    </r>
  </si>
  <si>
    <t>FTD32-14G/2</t>
  </si>
  <si>
    <t>FTD32-18G/2</t>
  </si>
  <si>
    <t>FTD32-21G/2</t>
  </si>
  <si>
    <t>FTD32-26G/2</t>
  </si>
  <si>
    <t>FTD32-33G/2</t>
  </si>
  <si>
    <t>FTD32-40G/2</t>
  </si>
  <si>
    <t>FTD32-50G/2</t>
  </si>
  <si>
    <t>FTD40-14G/2</t>
  </si>
  <si>
    <t>FTD40-16G/2</t>
  </si>
  <si>
    <t>FTD40-21G/2</t>
  </si>
  <si>
    <t>FTD40-20G/2</t>
  </si>
  <si>
    <t>FTD40-26G/2</t>
  </si>
  <si>
    <t>FTD40-30G/2</t>
  </si>
  <si>
    <t>FTD40-36G/2</t>
  </si>
  <si>
    <t>FTD40-48G/2</t>
  </si>
  <si>
    <t>FTD50-32G/2</t>
  </si>
  <si>
    <t>FTD50-39G/2</t>
  </si>
  <si>
    <t>FTD50-49G/2</t>
  </si>
  <si>
    <t>FTD50-59G/2</t>
  </si>
  <si>
    <t>FTD50-80G/2</t>
  </si>
  <si>
    <t>FTD50-12G/2</t>
  </si>
  <si>
    <t>FTD50-15G/2</t>
  </si>
  <si>
    <t>FTD50-18G/2</t>
  </si>
  <si>
    <t>FTD50-24G/2</t>
  </si>
  <si>
    <t>FTD50-28G/2</t>
  </si>
  <si>
    <t>FTD50-35G/2</t>
  </si>
  <si>
    <t>FTD50-40G/2</t>
  </si>
  <si>
    <t>FTD50-50G/2</t>
  </si>
  <si>
    <t>FTD50-60G/2</t>
  </si>
  <si>
    <t>FTD50-70G/2</t>
  </si>
  <si>
    <t>FTD50-81G/2</t>
  </si>
  <si>
    <t>FTD65-37G/2</t>
  </si>
  <si>
    <t>FTD65-48G/2</t>
  </si>
  <si>
    <t>FTD65-15G/2</t>
  </si>
  <si>
    <t>FTD65-20G/2</t>
  </si>
  <si>
    <t>FTD65-22G/2</t>
  </si>
  <si>
    <t>FTD65-30G/2</t>
  </si>
  <si>
    <t>FTD65-34G/2</t>
  </si>
  <si>
    <t>FTD65-41G/2</t>
  </si>
  <si>
    <t>FTD65-51G/2</t>
  </si>
  <si>
    <t>FTD65-61G/2</t>
  </si>
  <si>
    <t>FTD65-68G/2</t>
  </si>
  <si>
    <t>FTD65-85G/2</t>
  </si>
  <si>
    <t>FTD80-41G/2</t>
  </si>
  <si>
    <t>FTD80-48G/2</t>
  </si>
  <si>
    <t>FTD80-13G/2</t>
  </si>
  <si>
    <t>FTD80-18G/2</t>
  </si>
  <si>
    <t>FTD80-23G/2</t>
  </si>
  <si>
    <t>FTD80-29G/2</t>
  </si>
  <si>
    <t>FTD80-32G/2</t>
  </si>
  <si>
    <t>FTD80-38G/2</t>
  </si>
  <si>
    <t>FTD80-47G/2</t>
  </si>
  <si>
    <t>FTD80-54G/2</t>
  </si>
  <si>
    <t>FTD80-67G/2</t>
  </si>
  <si>
    <t>FTD100-9/2</t>
  </si>
  <si>
    <t>FTD100-15/2</t>
  </si>
  <si>
    <t>FTD100-17G/2</t>
  </si>
  <si>
    <t>FTD100-22G/2</t>
  </si>
  <si>
    <t>FTD100-27/2</t>
  </si>
  <si>
    <t>FTD100-33/2</t>
  </si>
  <si>
    <t>FTD100-40G/2</t>
  </si>
  <si>
    <t>FTD100-48G/2</t>
  </si>
  <si>
    <t>FTD100-52G/2</t>
  </si>
  <si>
    <t>FTD125-11G/4</t>
  </si>
  <si>
    <t>FTD125-14G/4</t>
  </si>
  <si>
    <t>FTD125-19G/4</t>
  </si>
  <si>
    <t>FTD125-22G/4</t>
  </si>
  <si>
    <t>FTD125-28G/4</t>
  </si>
  <si>
    <t>FTD125-32G/4</t>
  </si>
  <si>
    <t>FTD125-40G/4</t>
  </si>
  <si>
    <t>FTD125-48G/4</t>
  </si>
  <si>
    <t>FTD150-12.5G/4</t>
  </si>
  <si>
    <t>FTD150-17G/4</t>
  </si>
  <si>
    <t>FTD150-22G/4</t>
  </si>
  <si>
    <t>FTD150-25/4</t>
  </si>
  <si>
    <t>FTD150-33/4</t>
  </si>
  <si>
    <t>FTD150-40/4</t>
  </si>
  <si>
    <t>FTD150-50/4</t>
  </si>
  <si>
    <t>FTD200-16/4</t>
  </si>
  <si>
    <t>200x200</t>
  </si>
  <si>
    <t>FTD200-19/4</t>
  </si>
  <si>
    <t>FTD200-24/4</t>
  </si>
  <si>
    <t>FTD200-31/4</t>
  </si>
  <si>
    <t>FTD200-36/4</t>
  </si>
  <si>
    <t>FTD200-47/4</t>
  </si>
  <si>
    <t>FTD200-53/4</t>
  </si>
  <si>
    <t>FTD200-12.5/4</t>
  </si>
  <si>
    <t>FTD200-20/4</t>
  </si>
  <si>
    <t>FTD200-23/4</t>
  </si>
  <si>
    <t>FTD200-27/4</t>
  </si>
  <si>
    <t>FTD200-32/4</t>
  </si>
  <si>
    <t>FTD200-43/4</t>
  </si>
  <si>
    <t>FTD200-50/4</t>
  </si>
  <si>
    <t>FTD250-16/4</t>
  </si>
  <si>
    <t>250x250</t>
  </si>
  <si>
    <t>FTD250-19/4</t>
  </si>
  <si>
    <t>FTD250-22/4</t>
  </si>
  <si>
    <t>FTD250-29/4</t>
  </si>
  <si>
    <t>FTD250-36/4</t>
  </si>
  <si>
    <t>FTD250-47/4</t>
  </si>
  <si>
    <t>FTD250-56/4</t>
  </si>
  <si>
    <t>FTD250-12.5/4</t>
  </si>
  <si>
    <t>FTD250-14/4</t>
  </si>
  <si>
    <t>FTD250-17/4</t>
  </si>
  <si>
    <t>FTD250-20/4</t>
  </si>
  <si>
    <t>FTD250-26/4</t>
  </si>
  <si>
    <t>FTD250-32/4</t>
  </si>
  <si>
    <t>FTD250-40/4</t>
  </si>
  <si>
    <t>FTD250-50/4</t>
  </si>
  <si>
    <t>S.S.304</t>
  </si>
  <si>
    <t>80×80</t>
  </si>
  <si>
    <t>100×100</t>
  </si>
  <si>
    <r>
      <t xml:space="preserve">FSP  </t>
    </r>
    <r>
      <rPr>
        <b/>
        <sz val="18"/>
        <color indexed="9"/>
        <rFont val="Tahoma"/>
        <family val="2"/>
        <charset val="204"/>
      </rPr>
      <t>Self-priming bare shaft pump</t>
    </r>
  </si>
  <si>
    <t>SS imp.</t>
  </si>
  <si>
    <t>FSP</t>
  </si>
  <si>
    <t>SP-2</t>
  </si>
  <si>
    <t>SP-3</t>
  </si>
  <si>
    <t>SP-4</t>
  </si>
  <si>
    <t>SP-6</t>
  </si>
  <si>
    <t>150×150</t>
  </si>
  <si>
    <t>SP-8</t>
  </si>
  <si>
    <t>200×200</t>
  </si>
  <si>
    <t>SP-10</t>
  </si>
  <si>
    <t>250×250</t>
  </si>
  <si>
    <t>Mechanical Seal, WC-WC-SS304</t>
  </si>
  <si>
    <t>Max solid</t>
  </si>
  <si>
    <t>Up to 76mm solid pass capability</t>
  </si>
  <si>
    <t>250</t>
  </si>
  <si>
    <t>100</t>
  </si>
  <si>
    <t>350</t>
  </si>
  <si>
    <t>PPO</t>
  </si>
  <si>
    <t>Power
max</t>
  </si>
  <si>
    <t>Qm</t>
  </si>
  <si>
    <t>Hm</t>
  </si>
  <si>
    <t>FB15-4-130</t>
  </si>
  <si>
    <t>20 to 15</t>
  </si>
  <si>
    <t>FB20-4-130</t>
  </si>
  <si>
    <t>25 to 20</t>
  </si>
  <si>
    <t>FB25-4-130</t>
  </si>
  <si>
    <t>40 to 25</t>
  </si>
  <si>
    <t>FB25-4-180</t>
  </si>
  <si>
    <t>FB32-4-130</t>
  </si>
  <si>
    <t>50 to 32</t>
  </si>
  <si>
    <t>FB32-4-180</t>
  </si>
  <si>
    <t>FB15-6-130</t>
  </si>
  <si>
    <t>FB20-6-130</t>
  </si>
  <si>
    <t>FB25-6-130</t>
  </si>
  <si>
    <t>FB25-6-180</t>
  </si>
  <si>
    <t>FB32-6-130</t>
  </si>
  <si>
    <t>FB32-6-180</t>
  </si>
  <si>
    <t>FB25-7-180</t>
  </si>
  <si>
    <t>FB32-7-180</t>
  </si>
  <si>
    <t>FB25-8-180</t>
  </si>
  <si>
    <t>FB32-8-180</t>
  </si>
  <si>
    <t>FB20-12-180</t>
  </si>
  <si>
    <t>FB25-12-180</t>
  </si>
  <si>
    <t>Ceramic</t>
  </si>
  <si>
    <t>Cable</t>
  </si>
  <si>
    <t>1.2 meters with plug</t>
  </si>
  <si>
    <t>Motor case</t>
  </si>
  <si>
    <t>Aluminum</t>
  </si>
  <si>
    <t>FBA15-9</t>
  </si>
  <si>
    <t>FBA15-10</t>
  </si>
  <si>
    <t>FBA20-13</t>
  </si>
  <si>
    <t>FBG32-10-220</t>
  </si>
  <si>
    <t>FBG32-12-220</t>
  </si>
  <si>
    <t>FBG40-10F-220</t>
  </si>
  <si>
    <t>FBG40-12F-220</t>
  </si>
  <si>
    <t>FBG40-12F-250</t>
  </si>
  <si>
    <t>FBG40-16F-250</t>
  </si>
  <si>
    <t>FBG40-20F-250</t>
  </si>
  <si>
    <t>FBG50-9F-280</t>
  </si>
  <si>
    <t>FBG50-12F-280</t>
  </si>
  <si>
    <t>FBG50-16F-280</t>
  </si>
  <si>
    <t>FBG65-9F-300</t>
  </si>
  <si>
    <t>FBG65-12F-300</t>
  </si>
  <si>
    <t>Chr. alloy</t>
  </si>
  <si>
    <t>Mechanical Seal, SiC/SiC/SS304</t>
  </si>
  <si>
    <r>
      <t xml:space="preserve">KBD  </t>
    </r>
    <r>
      <rPr>
        <b/>
        <sz val="18"/>
        <color indexed="9"/>
        <rFont val="Tahoma"/>
        <family val="2"/>
        <charset val="204"/>
      </rPr>
      <t>Submersible slurry pump</t>
    </r>
  </si>
  <si>
    <t>KBD21.5</t>
  </si>
  <si>
    <t>KBD22.2</t>
  </si>
  <si>
    <t>KBD33.7</t>
  </si>
  <si>
    <t>KBD43.7</t>
  </si>
  <si>
    <r>
      <t xml:space="preserve">KBS  </t>
    </r>
    <r>
      <rPr>
        <b/>
        <sz val="18"/>
        <color indexed="9"/>
        <rFont val="Tahoma"/>
        <family val="2"/>
        <charset val="204"/>
      </rPr>
      <t>Submersible slurry pump</t>
    </r>
  </si>
  <si>
    <t>80KBS44</t>
  </si>
  <si>
    <t>100KBS46</t>
  </si>
  <si>
    <t>150KBS49</t>
  </si>
  <si>
    <t>200KBS415</t>
  </si>
  <si>
    <t>200KBS422</t>
  </si>
  <si>
    <t>50WQV10-10-0.75</t>
  </si>
  <si>
    <t>50WQV12-10-1.1</t>
  </si>
  <si>
    <t>50WQV15-15-1.5</t>
  </si>
  <si>
    <t>50WQV9-22-2.2</t>
  </si>
  <si>
    <t>65WQV25-15-2.2</t>
  </si>
  <si>
    <t>80WQV45-9-2.2</t>
  </si>
  <si>
    <t>50WQV20-22-3</t>
  </si>
  <si>
    <t>65WQV35-15-3</t>
  </si>
  <si>
    <t>80WQV43-13-3</t>
  </si>
  <si>
    <t>65WQV25-22-4</t>
  </si>
  <si>
    <t>80WQV45-17-4</t>
  </si>
  <si>
    <t>80WQV45-20-5.5</t>
  </si>
  <si>
    <t>100WQV65-15-5.5</t>
  </si>
  <si>
    <t>80WQV45-22-7.5</t>
  </si>
  <si>
    <t>100WQV100-13-7.5</t>
  </si>
  <si>
    <t>100WQV80-25-11</t>
  </si>
  <si>
    <t>150WQV150-15-11</t>
  </si>
  <si>
    <t>100WQV80-30-15</t>
  </si>
  <si>
    <t>150WQV200-15-15</t>
  </si>
  <si>
    <t>150WQV250-15-18.5</t>
  </si>
  <si>
    <t>200WQV350-12-18.5</t>
  </si>
  <si>
    <t>150WQV300-15-22</t>
  </si>
  <si>
    <t>200WQV400-10-22</t>
  </si>
  <si>
    <t>200WQV350-15-30</t>
  </si>
  <si>
    <t>250WQV600-10-30</t>
  </si>
  <si>
    <t>Motor</t>
  </si>
  <si>
    <t>Insulation class F, Protection IP 68</t>
  </si>
  <si>
    <r>
      <t xml:space="preserve">WQS  </t>
    </r>
    <r>
      <rPr>
        <b/>
        <sz val="18"/>
        <color indexed="9"/>
        <rFont val="Tahoma"/>
        <family val="2"/>
        <charset val="204"/>
      </rPr>
      <t>Stainless steel submersible sewage pump</t>
    </r>
  </si>
  <si>
    <t>sus304</t>
  </si>
  <si>
    <t>sus316</t>
  </si>
  <si>
    <t>50WQD10-10-0.75S</t>
  </si>
  <si>
    <t>SUS</t>
  </si>
  <si>
    <t>65WQD15-6-0.75S</t>
  </si>
  <si>
    <t>50WQD15-10-1.1S</t>
  </si>
  <si>
    <t>65WQD25-7-1.1S</t>
  </si>
  <si>
    <t>50WQD15-15-1.5S</t>
  </si>
  <si>
    <t>65WQD25-10-1.5S</t>
  </si>
  <si>
    <t>80WQD40-6-1.5S</t>
  </si>
  <si>
    <t>50WQD15-20-2.2S</t>
  </si>
  <si>
    <t>65WQD25-15-2.2S</t>
  </si>
  <si>
    <t>80WQD40-9-2.2S</t>
  </si>
  <si>
    <t>100WQD50-7-2.2S</t>
  </si>
  <si>
    <t>50WQ10-10-0.75S</t>
  </si>
  <si>
    <t>65WQ15-6-0.75S</t>
  </si>
  <si>
    <t>50WQ15-10-1.1S</t>
  </si>
  <si>
    <t>65WQ25-7-1.1S</t>
  </si>
  <si>
    <t>50WQ15-15-1.5S</t>
  </si>
  <si>
    <t>65WQ25-10-1.5S</t>
  </si>
  <si>
    <t>80WQ40-6-1.5S</t>
  </si>
  <si>
    <t>50WQ15-20-2.2S</t>
  </si>
  <si>
    <t>65WQ25-15-2.2S</t>
  </si>
  <si>
    <t>80WQ40-9-2.2S</t>
  </si>
  <si>
    <t>100WQ50-7-2.2S</t>
  </si>
  <si>
    <t>50WQ15-25-3S</t>
  </si>
  <si>
    <t>65WQ25-20-3S</t>
  </si>
  <si>
    <t>80WQ40-15-3S</t>
  </si>
  <si>
    <t>100WQ50-10-3S</t>
  </si>
  <si>
    <t>50WQ15-32-4S</t>
  </si>
  <si>
    <t>65WQ25-25-4S</t>
  </si>
  <si>
    <t>80WQ40-18-4S</t>
  </si>
  <si>
    <t>100WQ50-15-4S</t>
  </si>
  <si>
    <t>50WQ20-32-5.5S</t>
  </si>
  <si>
    <t>65WQ30-25-5.5S</t>
  </si>
  <si>
    <t>80WQ50-18-5.5S</t>
  </si>
  <si>
    <t>100WQ80-10-5.5S</t>
  </si>
  <si>
    <t>150WQ100-7-5.5S</t>
  </si>
  <si>
    <t>50WQ20-40-7.5S</t>
  </si>
  <si>
    <t>65WQ30-32-7.5S</t>
  </si>
  <si>
    <t>80WQ45-22-7.5S</t>
  </si>
  <si>
    <t>100WQ80-15-7.5S</t>
  </si>
  <si>
    <t>150WQ100-10-7.5S</t>
  </si>
  <si>
    <t>65WQ30-50-11S</t>
  </si>
  <si>
    <t>80WQ45-42-11S</t>
  </si>
  <si>
    <t>100WQ100-20-11S</t>
  </si>
  <si>
    <t>150WQ180-11-11S</t>
  </si>
  <si>
    <t>200WQ200-9-11S</t>
  </si>
  <si>
    <t>65WQ30-60-15S</t>
  </si>
  <si>
    <t>80WQ45-52-15S</t>
  </si>
  <si>
    <t>100WQ100-25-15S</t>
  </si>
  <si>
    <t>150WQ180-15-15S</t>
  </si>
  <si>
    <t>200WQ200-11-15S</t>
  </si>
  <si>
    <t>80WQ60-45-18.5S</t>
  </si>
  <si>
    <t>100WQ80-40-18.5S</t>
  </si>
  <si>
    <t>150WQ100-36-18.5S</t>
  </si>
  <si>
    <t>200WQ180-18-18.5S</t>
  </si>
  <si>
    <t>80WQ60-50-22S</t>
  </si>
  <si>
    <t>100WQ80-45-22S</t>
  </si>
  <si>
    <t>150WQ100-35-22S</t>
  </si>
  <si>
    <t>200WQ200-20-22S</t>
  </si>
  <si>
    <t>100WQ100-20-11S4</t>
  </si>
  <si>
    <t>150WQ180-11-11S4</t>
  </si>
  <si>
    <t>200WQ300-7-11S4</t>
  </si>
  <si>
    <t>100WQ100-25-15S4</t>
  </si>
  <si>
    <t>150WQ180-15-15S4</t>
  </si>
  <si>
    <t>200WQ250-11-15S4</t>
  </si>
  <si>
    <t>100WQ100-30-18.5S4</t>
  </si>
  <si>
    <t>150WQ180-20-18.5S4</t>
  </si>
  <si>
    <t>200WQ250-15-18.5S4</t>
  </si>
  <si>
    <t>100WQ100-35-22S4</t>
  </si>
  <si>
    <t>150WQ180-25-22S4</t>
  </si>
  <si>
    <t>200WQ250-20-22S4</t>
  </si>
  <si>
    <t>100WQ100-45-30S4</t>
  </si>
  <si>
    <t>150WQ180-30-30S4</t>
  </si>
  <si>
    <t>200WQ250-22-30S4</t>
  </si>
  <si>
    <t>250WQ600-9-30S4</t>
  </si>
  <si>
    <t>150WQ180-37-37S4</t>
  </si>
  <si>
    <t>200WQ350-25-37S4</t>
  </si>
  <si>
    <t>250WQ600-12-37S4</t>
  </si>
  <si>
    <t>300WQ800-9-37S4</t>
  </si>
  <si>
    <t>150WQ200-40-45S4</t>
  </si>
  <si>
    <t>200WQ400-25-45S4</t>
  </si>
  <si>
    <t>250WQ600-15-45S4</t>
  </si>
  <si>
    <t>300WQ800-12-45S4</t>
  </si>
  <si>
    <t>Stainless Steel 304/316</t>
  </si>
  <si>
    <r>
      <t xml:space="preserve">WQ  </t>
    </r>
    <r>
      <rPr>
        <b/>
        <sz val="18"/>
        <color indexed="9"/>
        <rFont val="Tahoma"/>
        <family val="2"/>
        <charset val="204"/>
      </rPr>
      <t>Submersible sewage pump</t>
    </r>
  </si>
  <si>
    <t>50WQ10-10-0.75/2</t>
  </si>
  <si>
    <t>50WQ7-15-1.1/2</t>
  </si>
  <si>
    <t>50WQ10-12-1.1/2</t>
  </si>
  <si>
    <t>65WQ15-9-1.1/2</t>
  </si>
  <si>
    <t>50WQ10-16-1.5/2</t>
  </si>
  <si>
    <t>50WQ15-15-1.5/2</t>
  </si>
  <si>
    <t>65WQ20-10-1.5/2</t>
  </si>
  <si>
    <t>80WQ40-7-1.5/2</t>
  </si>
  <si>
    <t>100WQ50-5-1.5/2</t>
  </si>
  <si>
    <t>50WQ9-22-2.2/2</t>
  </si>
  <si>
    <t>50WQ15-20-2.2/2</t>
  </si>
  <si>
    <t>65WQ20-15-2.2/2</t>
  </si>
  <si>
    <t>80WQ40-10-2.2/2</t>
  </si>
  <si>
    <t>100WQ50-7-2.2/2</t>
  </si>
  <si>
    <t>50WQ15-25-3/2</t>
  </si>
  <si>
    <t>65WQ25-18-3/2</t>
  </si>
  <si>
    <t>65WQ37-13-3/2</t>
  </si>
  <si>
    <t>80WQ45-12-3/2</t>
  </si>
  <si>
    <t>80WQ43-13-3/2</t>
  </si>
  <si>
    <t>100WQ60-9-3/2</t>
  </si>
  <si>
    <t>50WQ15-30-4/2</t>
  </si>
  <si>
    <t>65WQ25-25-4/2</t>
  </si>
  <si>
    <t>80WQ40-16-4/2</t>
  </si>
  <si>
    <t>100WQ60-12-4/2</t>
  </si>
  <si>
    <t>100WQ80-10-4/2</t>
  </si>
  <si>
    <t>50WQ20-35-5.5/2</t>
  </si>
  <si>
    <t>65WQ25-30-5.5/2</t>
  </si>
  <si>
    <t>80WQ40-22-5.5/2</t>
  </si>
  <si>
    <t>100WQ60-18-5.5/2</t>
  </si>
  <si>
    <t>50WQ20-42-7.5/2</t>
  </si>
  <si>
    <t>65WQ25-36-7.5/2</t>
  </si>
  <si>
    <t>80WQ40-28-7.5/2</t>
  </si>
  <si>
    <t>100WQ65-22-7.5/2</t>
  </si>
  <si>
    <t>50WQ20-55-11/2</t>
  </si>
  <si>
    <t>65WQ30-40-11/2</t>
  </si>
  <si>
    <t>80WQ60-30-11/2</t>
  </si>
  <si>
    <t>100WQ80-25-11/2</t>
  </si>
  <si>
    <t>150WQ100-20-11/2</t>
  </si>
  <si>
    <t>150WQ120-15-11/2</t>
  </si>
  <si>
    <t>200WQ180-11-11/2</t>
  </si>
  <si>
    <t>50WQ20-70-15/2</t>
  </si>
  <si>
    <t>65WQ30-60-15/2</t>
  </si>
  <si>
    <t>80WQ60-40-15/2</t>
  </si>
  <si>
    <t>100WQ80-35-15/2</t>
  </si>
  <si>
    <t>150WQ100-30-15/2</t>
  </si>
  <si>
    <t>150WQ120-25-15/2</t>
  </si>
  <si>
    <t>200WQ180-15-15/2</t>
  </si>
  <si>
    <t>80WQ60-45-18.5/2</t>
  </si>
  <si>
    <t>100WQ80-40-18.5/2</t>
  </si>
  <si>
    <t>150WQ100-36-18.5/2</t>
  </si>
  <si>
    <t>200WQ180-18-18.5/2</t>
  </si>
  <si>
    <t>65WQ30-75-22/2</t>
  </si>
  <si>
    <t>80WQ60-50-22/2</t>
  </si>
  <si>
    <t>100WQ80-45-22/2</t>
  </si>
  <si>
    <t>150WQ100-40-22/2</t>
  </si>
  <si>
    <t>200WQ200-20-22/2</t>
  </si>
  <si>
    <t>100WQ100-15-7.5/4</t>
  </si>
  <si>
    <t>150WQ145-9-7.5/4</t>
  </si>
  <si>
    <t>150WQ180-11-11/4</t>
  </si>
  <si>
    <t>200WQ300-7-11/4</t>
  </si>
  <si>
    <t>250WQ400-5-11/4</t>
  </si>
  <si>
    <t>100WQ100-30-15/4</t>
  </si>
  <si>
    <t>150WQ200-15-15/4</t>
  </si>
  <si>
    <t>200WQ250-11-15/4</t>
  </si>
  <si>
    <t>100WQ100-35-18.5/4</t>
  </si>
  <si>
    <t>150WQ180-20-18.5/4</t>
  </si>
  <si>
    <t>200WQ250-15-18.5/4</t>
  </si>
  <si>
    <t>200WQ350-10-18.5/4</t>
  </si>
  <si>
    <t>250WQ500-7-18.5/4</t>
  </si>
  <si>
    <t>300WQ650-5-18.5/4</t>
  </si>
  <si>
    <t>100WQ100-40-22/4</t>
  </si>
  <si>
    <t>150WQ200-22-22/4</t>
  </si>
  <si>
    <t>200WQ300-16-22/4</t>
  </si>
  <si>
    <t>250WQ500-9-22/4</t>
  </si>
  <si>
    <t>150WQ180-30-30/4</t>
  </si>
  <si>
    <t>150</t>
  </si>
  <si>
    <t>200WQ250-22-30/4</t>
  </si>
  <si>
    <t>200</t>
  </si>
  <si>
    <t>250WQ500-12-30/4</t>
  </si>
  <si>
    <t>250WQ600-9-30/4</t>
  </si>
  <si>
    <t>300</t>
  </si>
  <si>
    <t>300WQ1000-6-30/6</t>
  </si>
  <si>
    <t>350WQ1500-4-30/6</t>
  </si>
  <si>
    <t>100WQ120-50-37/4</t>
  </si>
  <si>
    <t>150WQ200-35-37/4</t>
  </si>
  <si>
    <t>200WQ300-28-37/4</t>
  </si>
  <si>
    <t>200WQ350-25-37/4</t>
  </si>
  <si>
    <t>250WQ600-12-37/4</t>
  </si>
  <si>
    <t>350WQ1100-6-37/6</t>
  </si>
  <si>
    <t>100WQ100-57-45/4</t>
  </si>
  <si>
    <t>150WQ200-40-45/4</t>
  </si>
  <si>
    <t>200WQ300-32-45/4</t>
  </si>
  <si>
    <t>200WQ400-25-45/4</t>
  </si>
  <si>
    <t>250WQ600-15-45/4</t>
  </si>
  <si>
    <t>300WQ800-12-45/4</t>
  </si>
  <si>
    <t>100WQ100-65-55/4</t>
  </si>
  <si>
    <t>150WQ180-50-55/4</t>
  </si>
  <si>
    <t>200WQ300-40-55/4</t>
  </si>
  <si>
    <t>200WQ400-30-55/4</t>
  </si>
  <si>
    <t>250WQ600-20-55/4</t>
  </si>
  <si>
    <t>300WQ800-15-55/4</t>
  </si>
  <si>
    <t>350WQ1000-10-55/4</t>
  </si>
  <si>
    <t>350WQ1100-10-55/6</t>
  </si>
  <si>
    <t>100WQ120-75-75/4</t>
  </si>
  <si>
    <t>200WQ350-45-75/4</t>
  </si>
  <si>
    <t>250WQ600-25-75/4</t>
  </si>
  <si>
    <t>300WQ800-20-75/4</t>
  </si>
  <si>
    <t>350WQ1000-15-75/4</t>
  </si>
  <si>
    <t>100WQ120-85-90/4</t>
  </si>
  <si>
    <t>150WQ200-70-90/4</t>
  </si>
  <si>
    <t>200WQ400-50-90/4</t>
  </si>
  <si>
    <t>250WQ600-30-90/4</t>
  </si>
  <si>
    <t>300WQ800-25-90/4</t>
  </si>
  <si>
    <t>350WQ1000-18-90/4</t>
  </si>
  <si>
    <t>350WQ1200-18-90/6</t>
  </si>
  <si>
    <t>200WQ300-65-110/4</t>
  </si>
  <si>
    <t>250WQ600-40-110/4</t>
  </si>
  <si>
    <t>300WQ1000-25-110/4</t>
  </si>
  <si>
    <t>350WQ1300-20-110/4</t>
  </si>
  <si>
    <t>200WQ400-75-132/4</t>
  </si>
  <si>
    <t>250WQ600-50-132/4</t>
  </si>
  <si>
    <t>300WQ800-36-132/4</t>
  </si>
  <si>
    <t>350WQ1100-28-132/4</t>
  </si>
  <si>
    <t>200WQ400-85-160/4</t>
  </si>
  <si>
    <t>300WQ800-40-160/4</t>
  </si>
  <si>
    <t>350WQ1000-35-160/4</t>
  </si>
  <si>
    <t>150WQ200-110-185/4</t>
  </si>
  <si>
    <t>200WQ400-90-185/4</t>
  </si>
  <si>
    <t>250WQ600-70-185/4</t>
  </si>
  <si>
    <t>300WQ900-40-185/4</t>
  </si>
  <si>
    <t>300WQ1000-45-200/4</t>
  </si>
  <si>
    <t>350WQ1300-35-200/4</t>
  </si>
  <si>
    <t>300WQ1100-45-250/4</t>
  </si>
  <si>
    <t>350WQ1500-36-250/4</t>
  </si>
  <si>
    <t>300WQ1000-55-315/4</t>
  </si>
  <si>
    <t>350WQ1500-45-315/4</t>
  </si>
  <si>
    <t>Motor Case</t>
  </si>
  <si>
    <t>Stainless Steel 2CR13</t>
  </si>
  <si>
    <r>
      <t xml:space="preserve">L  </t>
    </r>
    <r>
      <rPr>
        <b/>
        <sz val="18"/>
        <color indexed="9"/>
        <rFont val="Tahoma"/>
        <family val="2"/>
        <charset val="204"/>
      </rPr>
      <t>Big flow submersible pump</t>
    </r>
  </si>
  <si>
    <t>L-63</t>
  </si>
  <si>
    <t>L-200</t>
  </si>
  <si>
    <t>L-250</t>
  </si>
  <si>
    <t>L-300</t>
  </si>
  <si>
    <r>
      <t>CDM(F)</t>
    </r>
    <r>
      <rPr>
        <b/>
        <sz val="20"/>
        <color indexed="9"/>
        <rFont val="Tahoma"/>
        <family val="2"/>
        <charset val="134"/>
      </rPr>
      <t xml:space="preserve">  </t>
    </r>
    <r>
      <rPr>
        <b/>
        <sz val="18"/>
        <color indexed="9"/>
        <rFont val="Tahoma"/>
        <family val="2"/>
        <charset val="134"/>
      </rPr>
      <t>SS304 vertical multistage pump</t>
    </r>
  </si>
  <si>
    <t>CDM 32-1-1</t>
  </si>
  <si>
    <t>CDM 32-1</t>
  </si>
  <si>
    <t>CDM 32-2-2</t>
  </si>
  <si>
    <t>CDM 32-2</t>
  </si>
  <si>
    <t>CDM 32-3-2</t>
  </si>
  <si>
    <t>CDM 32-3</t>
  </si>
  <si>
    <t>CDM 32-4-2</t>
  </si>
  <si>
    <t>CDM 32-4</t>
  </si>
  <si>
    <t>CDM 32-5-2</t>
  </si>
  <si>
    <t>CDM 32-5</t>
  </si>
  <si>
    <t>CDM 32-6-2</t>
  </si>
  <si>
    <t>CDM 32-6</t>
  </si>
  <si>
    <t>CDM 32-7-2</t>
  </si>
  <si>
    <t>CDM 32-7</t>
  </si>
  <si>
    <t>CDM 32-8-2</t>
  </si>
  <si>
    <t>CDM 32-8</t>
  </si>
  <si>
    <t>CDM 32-9-2</t>
  </si>
  <si>
    <t>CDM 32-9</t>
  </si>
  <si>
    <t>CDM 32-10-2</t>
  </si>
  <si>
    <t>CDM 32-10</t>
  </si>
  <si>
    <t>CDM 32-11-2</t>
  </si>
  <si>
    <t>CDM 32-11</t>
  </si>
  <si>
    <t>CDM 32-12-2</t>
  </si>
  <si>
    <t>CDM 32-12</t>
  </si>
  <si>
    <t>CDM 32-13-2</t>
  </si>
  <si>
    <t>CDM 32-13</t>
  </si>
  <si>
    <t>CDM 32-14-2</t>
  </si>
  <si>
    <t>CDM 32-14</t>
  </si>
  <si>
    <t>CDM 32-15-2</t>
  </si>
  <si>
    <t>CDM 32-15</t>
  </si>
  <si>
    <t>CDM 32-16-2</t>
  </si>
  <si>
    <t>CDM 32-16</t>
  </si>
  <si>
    <t>CDM 42-1-1</t>
  </si>
  <si>
    <t>CDM 42-1</t>
  </si>
  <si>
    <t>CDM 42-2-2</t>
  </si>
  <si>
    <t>CDM 42-2</t>
  </si>
  <si>
    <t>CDM 42-3-2</t>
  </si>
  <si>
    <t>CDM 42-3</t>
  </si>
  <si>
    <t>CDM 42-4-2</t>
  </si>
  <si>
    <t>CDM 42-4</t>
  </si>
  <si>
    <t>CDM 42-5-2</t>
  </si>
  <si>
    <t>CDM 42-5</t>
  </si>
  <si>
    <t>CDM 42-6-2</t>
  </si>
  <si>
    <t>CDM 42-6</t>
  </si>
  <si>
    <t>CDM 42-7-2</t>
  </si>
  <si>
    <t>CDM 42-7</t>
  </si>
  <si>
    <t>CDM 42-8-2</t>
  </si>
  <si>
    <t>CDM 42-8</t>
  </si>
  <si>
    <t>CDM 42-9-2</t>
  </si>
  <si>
    <t>CDM 42-9</t>
  </si>
  <si>
    <t>CDM 42-10-2</t>
  </si>
  <si>
    <t>CDM 42-10</t>
  </si>
  <si>
    <t>CDM 42-11-2</t>
  </si>
  <si>
    <t>CDM 42-11</t>
  </si>
  <si>
    <t>CDM 42-12-2</t>
  </si>
  <si>
    <t>CDM 42-12</t>
  </si>
  <si>
    <t>CDM 42-13-2</t>
  </si>
  <si>
    <t>CDM 65-1-1</t>
  </si>
  <si>
    <t>CDM 65-1</t>
  </si>
  <si>
    <t>CDM 65-2-2</t>
  </si>
  <si>
    <t>CDM 65-2-1</t>
  </si>
  <si>
    <t>CDM 65-2</t>
  </si>
  <si>
    <t>CDM 65-3-2</t>
  </si>
  <si>
    <t>CDM 65-3-1</t>
  </si>
  <si>
    <t>CDM 65-3</t>
  </si>
  <si>
    <t>CDM 65-4-2</t>
  </si>
  <si>
    <t>CDM 65-4-1</t>
  </si>
  <si>
    <t>CDM 65-4</t>
  </si>
  <si>
    <t>CDM 65-5-2</t>
  </si>
  <si>
    <t>CDM 65-5-1</t>
  </si>
  <si>
    <t>CDM 65-5</t>
  </si>
  <si>
    <t>CDM 65-6-2</t>
  </si>
  <si>
    <t>CDM 65-6-1</t>
  </si>
  <si>
    <t>CDM 65-6</t>
  </si>
  <si>
    <t>CDM 65-7-2</t>
  </si>
  <si>
    <t>CDM 65-7-1</t>
  </si>
  <si>
    <t>CDM 65-7</t>
  </si>
  <si>
    <t>CDM 65-8-2</t>
  </si>
  <si>
    <t>CDM 65-8-1</t>
  </si>
  <si>
    <t>CDM 85-1-1</t>
  </si>
  <si>
    <t>CDM 85-1</t>
  </si>
  <si>
    <t>CDM 85-2-2</t>
  </si>
  <si>
    <t>CDM 85-2</t>
  </si>
  <si>
    <t>CDM 85-3-2</t>
  </si>
  <si>
    <t>CDM 85-3</t>
  </si>
  <si>
    <t>CDM 85-4-2</t>
  </si>
  <si>
    <t>CDM 85-4</t>
  </si>
  <si>
    <t>CDM 85-5-2</t>
  </si>
  <si>
    <t>CDM 85-5</t>
  </si>
  <si>
    <t>CDM 85-6-2</t>
  </si>
  <si>
    <t>CDM 85-6</t>
  </si>
  <si>
    <t>По запросу</t>
  </si>
  <si>
    <t>Model COUPLIG, DN</t>
  </si>
  <si>
    <t>SS 304</t>
  </si>
  <si>
    <t>SS316</t>
  </si>
  <si>
    <t>USD c НДС</t>
  </si>
  <si>
    <t>не изготавливается</t>
  </si>
  <si>
    <t>Наименование опции</t>
  </si>
  <si>
    <t>Описание</t>
  </si>
  <si>
    <t>PTC датчик в двигатель насоса</t>
  </si>
  <si>
    <t>1 шт.</t>
  </si>
  <si>
    <t>Цена/условия/ USD с НДС за  шт/компл</t>
  </si>
  <si>
    <t>Дополнительно 2% к стоимости насоса в сборе с двигателем.</t>
  </si>
  <si>
    <t xml:space="preserve">Уплотнения из VITON </t>
  </si>
  <si>
    <t>Mechanical Seal, Graphite-Silicon Carbide-Viton (can be use for ethylene glycol/propylene glycol up to 50% concentration/temperature up to + 120 degrees.)</t>
  </si>
  <si>
    <t>Mechanical Seal,Mechanical Seal, Graphite-Silicon Carbide-Viton (can be use for ethylene glycol/propylene glycol up to 50% concentration/temperature up to + 120 degrees.)</t>
  </si>
  <si>
    <t>FST 65-315/450</t>
  </si>
  <si>
    <t>FST 65-315/550</t>
  </si>
  <si>
    <t>FST 65-315/750</t>
  </si>
  <si>
    <t>FST 65-315/900</t>
  </si>
  <si>
    <t>FST 80-250/450</t>
  </si>
  <si>
    <t>FST 80-250/550</t>
  </si>
  <si>
    <t>FST 80-315/450</t>
  </si>
  <si>
    <t>FST 80-315/550</t>
  </si>
  <si>
    <t>FST 80-315/750</t>
  </si>
  <si>
    <t>FST 80-315/900</t>
  </si>
  <si>
    <t>125×100</t>
  </si>
  <si>
    <t>FST 100-250/450</t>
  </si>
  <si>
    <t>FST 100-250/550</t>
  </si>
  <si>
    <t>FST 100-250/750</t>
  </si>
  <si>
    <t>FST 100-250/900</t>
  </si>
  <si>
    <t>FST 100-315/750</t>
  </si>
  <si>
    <t>FST 100-315/900</t>
  </si>
  <si>
    <t>FST 100-315/1100</t>
  </si>
  <si>
    <t>FST 100-315/1320</t>
  </si>
  <si>
    <t>FST 100-315/1600</t>
  </si>
  <si>
    <t>FST 125-200/450</t>
  </si>
  <si>
    <t>150×125</t>
  </si>
  <si>
    <t>FST 125-200/550</t>
  </si>
  <si>
    <t>FST 125-200/750</t>
  </si>
  <si>
    <t>FST 125-250/550</t>
  </si>
  <si>
    <t>FST 125-250/750</t>
  </si>
  <si>
    <t>FST 125-250/900</t>
  </si>
  <si>
    <r>
      <t xml:space="preserve">FST  </t>
    </r>
    <r>
      <rPr>
        <b/>
        <sz val="18"/>
        <color indexed="9"/>
        <rFont val="Tahoma"/>
        <family val="2"/>
        <charset val="204"/>
      </rPr>
      <t>Monoblock standardise centrifgual pump</t>
    </r>
  </si>
  <si>
    <r>
      <t xml:space="preserve">FST4  </t>
    </r>
    <r>
      <rPr>
        <b/>
        <sz val="18"/>
        <color indexed="9"/>
        <rFont val="Tahoma"/>
        <family val="2"/>
        <charset val="204"/>
      </rPr>
      <t>Monoblock standardise centrifgual pump</t>
    </r>
  </si>
  <si>
    <t>n≈1450rpm</t>
  </si>
  <si>
    <t>FST4 65-250/30</t>
  </si>
  <si>
    <t>FST4 65-250/40</t>
  </si>
  <si>
    <t>FST4 65-250/55</t>
  </si>
  <si>
    <t>FST4 65-315/40</t>
  </si>
  <si>
    <t>FST4 65-315/55</t>
  </si>
  <si>
    <t>FST4 65-315/75</t>
  </si>
  <si>
    <t>FST4 65-315/110</t>
  </si>
  <si>
    <t>FST4 65-315/150</t>
  </si>
  <si>
    <t>FST4 80-200/30</t>
  </si>
  <si>
    <t>FST4 80-200/40</t>
  </si>
  <si>
    <t>FST4 80-250/55</t>
  </si>
  <si>
    <t>FST4 80-250/75</t>
  </si>
  <si>
    <t>FST4 80-250/110</t>
  </si>
  <si>
    <t>FST4 80-315/55</t>
  </si>
  <si>
    <t>FST4 80-315/75</t>
  </si>
  <si>
    <t>FST4 80-315/110</t>
  </si>
  <si>
    <t>FST4 80-315/150</t>
  </si>
  <si>
    <t>FST4 80-400/185</t>
  </si>
  <si>
    <t>FST4 80-400/220</t>
  </si>
  <si>
    <t>FST4 80-400/300</t>
  </si>
  <si>
    <t>FST4 100-200/40</t>
  </si>
  <si>
    <t>FST4 100-200/55</t>
  </si>
  <si>
    <t>FST4 100-200/75</t>
  </si>
  <si>
    <t>FST4 100-250/55</t>
  </si>
  <si>
    <t>FST4 100-250/75</t>
  </si>
  <si>
    <t>FST4 100-250/110</t>
  </si>
  <si>
    <t>FST4 100-250/150</t>
  </si>
  <si>
    <t>FST4 100-315/150</t>
  </si>
  <si>
    <t>FST4 100-315/185</t>
  </si>
  <si>
    <t>FST4 100-315/220</t>
  </si>
  <si>
    <t>FST4 100-315/300</t>
  </si>
  <si>
    <t>FST4 100-400/300</t>
  </si>
  <si>
    <t>FST4 100-400/370</t>
  </si>
  <si>
    <t>FST4 100-400/450</t>
  </si>
  <si>
    <t>FST4 125-200/55</t>
  </si>
  <si>
    <t>FST4 125-200/75</t>
  </si>
  <si>
    <t>FST4 125-200/110</t>
  </si>
  <si>
    <t>FST4 125-250/75</t>
  </si>
  <si>
    <t>FST4 125-250/110</t>
  </si>
  <si>
    <t>FST4 125-250/150</t>
  </si>
  <si>
    <t>FST4 125-250/185</t>
  </si>
  <si>
    <t>FST4 125-315/185</t>
  </si>
  <si>
    <t>FST4 125-315/220</t>
  </si>
  <si>
    <t>FST4 125-315/300</t>
  </si>
  <si>
    <t>FST4 125-315/370</t>
  </si>
  <si>
    <t>FST4 150-200/110</t>
  </si>
  <si>
    <t>FST4 150-200/150</t>
  </si>
  <si>
    <t>FST4 150-200/185</t>
  </si>
  <si>
    <t>FST4 150-200/220</t>
  </si>
  <si>
    <t>FST4 150-250/150</t>
  </si>
  <si>
    <t>FST4 150-250/185</t>
  </si>
  <si>
    <t>FST4 150-250/220</t>
  </si>
  <si>
    <t>FST4 150-250/300</t>
  </si>
  <si>
    <t>FST4 150-315/370</t>
  </si>
  <si>
    <t>FST4 150-315/450</t>
  </si>
  <si>
    <t>FST4 150-315/550</t>
  </si>
  <si>
    <t>FST4 150-315/750</t>
  </si>
  <si>
    <t>FST4 150-400/550</t>
  </si>
  <si>
    <t>FST4 150-400/750</t>
  </si>
  <si>
    <t>FST4 150-400/900</t>
  </si>
  <si>
    <t>FST4 150-400/1100</t>
  </si>
  <si>
    <t>FST4 150-400/1320</t>
  </si>
  <si>
    <t>65x40</t>
  </si>
  <si>
    <t>65x50</t>
  </si>
  <si>
    <t>FSTB</t>
  </si>
  <si>
    <t>FSTC</t>
  </si>
  <si>
    <t>Цена USD с НДС за  шт</t>
  </si>
  <si>
    <t>Чугун</t>
  </si>
  <si>
    <t>Плита основание</t>
  </si>
  <si>
    <t>Вал</t>
  </si>
  <si>
    <t>Корпус насоса</t>
  </si>
  <si>
    <t>Механическое уплотнение</t>
  </si>
  <si>
    <t>Подшипник</t>
  </si>
  <si>
    <t>FTD 200 - включена в стоимость, FTD100-40G/2 до FTD 150-50/4 + 136 USD к прайсу насоса, FTD100-33/2 и ниже + 68 USD к прайсу насоса.</t>
  </si>
  <si>
    <t>Поплавковый выключатель M15-1, 20 м.</t>
  </si>
  <si>
    <t>Поплавковый выключатель для сточных вод, длина кабеля 20 метров, сечение кабеля 3х1 мм2</t>
  </si>
  <si>
    <t>Корпус насоса, рабочие колёса, диффузоры</t>
  </si>
  <si>
    <t>Напряжение</t>
  </si>
  <si>
    <t>Стандартная версия 380В (трёхфазная)/Для 220 В (однофазная версия) необходимо + 7%</t>
  </si>
  <si>
    <t>Нержавеющая сталь AISI 304</t>
  </si>
  <si>
    <t>Уплотнение</t>
  </si>
  <si>
    <t>Механическое уплотнение, Графит-Карбид Вольфрама -Витон</t>
  </si>
  <si>
    <t>Чугун с катафорезным покрытием</t>
  </si>
  <si>
    <t>Хромированная сталь</t>
  </si>
  <si>
    <t>Уплотнение вала</t>
  </si>
  <si>
    <t xml:space="preserve">Механическое уплотнение, Графит-Карбид Кремния- каучук NBR </t>
  </si>
  <si>
    <t>Фланец</t>
  </si>
  <si>
    <t>Оцикованные ответные фланцы с комплектом крепежа</t>
  </si>
  <si>
    <t>Рабочее колесо</t>
  </si>
  <si>
    <t>Чугун с катафорезным покрытием, AISI 304 + 8% к прайсу</t>
  </si>
  <si>
    <r>
      <t xml:space="preserve">FWO  </t>
    </r>
    <r>
      <rPr>
        <b/>
        <sz val="18"/>
        <color indexed="9"/>
        <rFont val="Tahoma"/>
        <family val="2"/>
        <charset val="134"/>
      </rPr>
      <t>Open impeller SS304 pump</t>
    </r>
  </si>
  <si>
    <t>FWO 50</t>
  </si>
  <si>
    <t>FWO 100</t>
  </si>
  <si>
    <t>FWO 120</t>
  </si>
  <si>
    <t>FWO 150</t>
  </si>
  <si>
    <t>FWO 200</t>
  </si>
  <si>
    <t>FWO 300</t>
  </si>
  <si>
    <t>FWO 400</t>
  </si>
  <si>
    <r>
      <t xml:space="preserve">FDX  </t>
    </r>
    <r>
      <rPr>
        <b/>
        <sz val="18"/>
        <color indexed="9"/>
        <rFont val="Tahoma"/>
        <family val="2"/>
        <charset val="134"/>
      </rPr>
      <t>Horizontal pump SS304</t>
    </r>
  </si>
  <si>
    <t>FDX 70/05</t>
  </si>
  <si>
    <t>FDX 70/07</t>
  </si>
  <si>
    <t>FDX 90/10</t>
  </si>
  <si>
    <t>FDX 120/07</t>
  </si>
  <si>
    <t>FDX 120/12</t>
  </si>
  <si>
    <t>FDX 120/20</t>
  </si>
  <si>
    <t>FDX 200/12</t>
  </si>
  <si>
    <t>40x25</t>
  </si>
  <si>
    <t>FDX 200/20</t>
  </si>
  <si>
    <t>FDX 200/25</t>
  </si>
  <si>
    <r>
      <t xml:space="preserve">2FDX  </t>
    </r>
    <r>
      <rPr>
        <b/>
        <sz val="18"/>
        <color indexed="9"/>
        <rFont val="Tahoma"/>
        <family val="2"/>
        <charset val="134"/>
      </rPr>
      <t>Double impeller SS304 pump</t>
    </r>
  </si>
  <si>
    <t>2FDX 70/10</t>
  </si>
  <si>
    <t>2FDX 70/12</t>
  </si>
  <si>
    <t>2FDX 70/15</t>
  </si>
  <si>
    <t>2FDX 70/20</t>
  </si>
  <si>
    <t>2FDX 120/15</t>
  </si>
  <si>
    <t>2FDX 120/20</t>
  </si>
  <si>
    <t>2FDX 120/30</t>
  </si>
  <si>
    <t>2FDX 120/40</t>
  </si>
  <si>
    <t>2FDX 200/30</t>
  </si>
  <si>
    <t>2FDX 200/40</t>
  </si>
  <si>
    <t>2FDX 200/50</t>
  </si>
  <si>
    <r>
      <t>Mechanical Seal,SiC/Carbon/SS304/</t>
    </r>
    <r>
      <rPr>
        <b/>
        <sz val="11"/>
        <color indexed="10"/>
        <rFont val="Verdana"/>
        <family val="2"/>
        <charset val="204"/>
      </rPr>
      <t>VITON need +3%</t>
    </r>
  </si>
  <si>
    <t>WQAS</t>
  </si>
  <si>
    <t>80WQAS60-30-11/2</t>
  </si>
  <si>
    <t>SS201</t>
  </si>
  <si>
    <t>100WQAS80-25-11/2</t>
  </si>
  <si>
    <t>150WQAS100-20-11/2</t>
  </si>
  <si>
    <t xml:space="preserve"> 150WQAS120-15-11/2</t>
  </si>
  <si>
    <t>200WQAS180-10-11/2</t>
  </si>
  <si>
    <t>80WQAS60-40-15/2</t>
  </si>
  <si>
    <t>100WQAS80-32-15/2</t>
  </si>
  <si>
    <t xml:space="preserve">150WQAS100-27-15/2 </t>
  </si>
  <si>
    <t>150WQAS120-25-15/2</t>
  </si>
  <si>
    <t>200WQAS180-15-15/2</t>
  </si>
  <si>
    <t>80WQAS60-41-18.5/2</t>
  </si>
  <si>
    <t>100WQAS80-38-18.5/2</t>
  </si>
  <si>
    <t>150WQAS100-35-18.5/2</t>
  </si>
  <si>
    <t>200WQAS180-18-18.5/2</t>
  </si>
  <si>
    <t>80WQAS60-45-22/2</t>
  </si>
  <si>
    <t>100WQAS80-45-22/2</t>
  </si>
  <si>
    <t>150WQAS150-26-22/2</t>
  </si>
  <si>
    <t>200WQAS200-20-22/2</t>
  </si>
  <si>
    <t>80WQAS80-11-5.5/4</t>
  </si>
  <si>
    <t>100WQAS100-10-5.5/4</t>
  </si>
  <si>
    <t>150WQAS150-7-5.5/4</t>
  </si>
  <si>
    <t>80WQAS80-15-7.5/4</t>
  </si>
  <si>
    <t>100WQAS100-12-7.5/4</t>
  </si>
  <si>
    <t>150WQAS145-9-7.5/4</t>
  </si>
  <si>
    <t>200WQAS250-6-7.5/4</t>
  </si>
  <si>
    <t>80WQAS80-22-11/4</t>
  </si>
  <si>
    <t>100WQAS100-20-11/4</t>
  </si>
  <si>
    <t>150WQAS180-11-11/4</t>
  </si>
  <si>
    <t>200WQAS300-7-11/4</t>
  </si>
  <si>
    <t>250WQAS400-5-11/4</t>
  </si>
  <si>
    <t>80WQAS80-25-15/4</t>
  </si>
  <si>
    <t>100WQAS100-25-15/4</t>
  </si>
  <si>
    <t>150WQAS200-15-15/4</t>
  </si>
  <si>
    <t>200WQAS250-11-15/4</t>
  </si>
  <si>
    <t>250WQAS450-5-15/4</t>
  </si>
  <si>
    <t>80WQAS80-30-18.5/4</t>
  </si>
  <si>
    <t>100WQAS100-30-18.5/4</t>
  </si>
  <si>
    <t>150WQAS180-20-18.5/4</t>
  </si>
  <si>
    <t>200WQAS250-15-18.5/4</t>
  </si>
  <si>
    <t>200WQAS350-10-18.5/4</t>
  </si>
  <si>
    <t>250WQAS500-7-18.5/4</t>
  </si>
  <si>
    <t>300WQAS600-5-18.5/4</t>
  </si>
  <si>
    <t>80WQAS80-35-22/4</t>
  </si>
  <si>
    <t>100WQAS100-32-22/4</t>
  </si>
  <si>
    <t>150WQAS200-22-22/4</t>
  </si>
  <si>
    <t>200WQAS300-16-22/4</t>
  </si>
  <si>
    <t>200WQAS400-10-22/4</t>
  </si>
  <si>
    <t>250WQAS500-9-22/4</t>
  </si>
  <si>
    <t>300WQAS550-7-22/4</t>
  </si>
  <si>
    <t>100WQAS120-40-30/4</t>
  </si>
  <si>
    <t>150WQAS180-28-30/4</t>
  </si>
  <si>
    <t>200WQAS250-22-30/4</t>
  </si>
  <si>
    <t>250WQAS500-10-30/4</t>
  </si>
  <si>
    <t>250WQAS600-8-30/4</t>
  </si>
  <si>
    <t>300WQAS700-8-30/4</t>
  </si>
  <si>
    <t>100WQAS120-45-37/4</t>
  </si>
  <si>
    <t>150WQAS200-32-37/4</t>
  </si>
  <si>
    <t>200WQAS300-28-37/4</t>
  </si>
  <si>
    <t>200WQAS350-25-37/4</t>
  </si>
  <si>
    <t>250WQAS600-12-37/4</t>
  </si>
  <si>
    <t>300WQAS700-11-37/4</t>
  </si>
  <si>
    <t>100WQAS100-55-45/4</t>
  </si>
  <si>
    <t>150WQAS200-36-45/4</t>
  </si>
  <si>
    <t>200WQAS300-30-45/4</t>
  </si>
  <si>
    <t>200WQAS400-25-45/4</t>
  </si>
  <si>
    <t>250WQAS600-15-45/4</t>
  </si>
  <si>
    <t>300WQAS800-12-45/4</t>
  </si>
  <si>
    <t>100WQAS100-65-55/4</t>
  </si>
  <si>
    <t>150WQAS180-40-55/4</t>
  </si>
  <si>
    <t>200WQAS300-35-55/4</t>
  </si>
  <si>
    <t>200WQAS400-30-55/4</t>
  </si>
  <si>
    <t>250WQAS600-20-55/4</t>
  </si>
  <si>
    <t>300WQAS800-15-55/4</t>
  </si>
  <si>
    <t>150WQAS200-57-75/4</t>
  </si>
  <si>
    <t>200WQAS350-45-75/4</t>
  </si>
  <si>
    <t>250WQAS600-25-75/4</t>
  </si>
  <si>
    <t>300WQAS800-20-75/4</t>
  </si>
  <si>
    <t>150WQAS200-60-90/4</t>
  </si>
  <si>
    <t>200WQAS300-50-90/4</t>
  </si>
  <si>
    <t>200WQAS400-43-90/4</t>
  </si>
  <si>
    <t>250WQAS600-30-90/4</t>
  </si>
  <si>
    <t>300WQAS800-25-90/4</t>
  </si>
  <si>
    <t>150WQAS180-70-110/4</t>
  </si>
  <si>
    <t>200WQAS300-55-110/4</t>
  </si>
  <si>
    <t>250WQAS600-40-110/4</t>
  </si>
  <si>
    <t>300WQAS900-30-110/4</t>
  </si>
  <si>
    <t>Катафарезное покрытие</t>
  </si>
  <si>
    <t>Механическое уплотнение, Карбид кремния/Карбид кремния/AISI 304</t>
  </si>
  <si>
    <t>Электродвигатель</t>
  </si>
  <si>
    <t>Нержавеющая сталь AISI 201</t>
  </si>
  <si>
    <t>WQAS  Погружной насос с режущим механизмом</t>
  </si>
  <si>
    <t>-</t>
  </si>
  <si>
    <t>Without cable</t>
  </si>
  <si>
    <t xml:space="preserve">Электродвигатель </t>
  </si>
  <si>
    <t>Подшипнк</t>
  </si>
  <si>
    <t>Температура</t>
  </si>
  <si>
    <t>Стандарная версия 104℃</t>
  </si>
  <si>
    <t>Стандартная версия 70℃, для высокой температуры (104℃) необходимо добавить 3%</t>
  </si>
  <si>
    <t>FSM 32-160/15</t>
  </si>
  <si>
    <t>FSM 32-160/22</t>
  </si>
  <si>
    <t>FSM 32-160/30</t>
  </si>
  <si>
    <t>FSM 32-200/30</t>
  </si>
  <si>
    <t>FSM 32-200/40</t>
  </si>
  <si>
    <t>FSM 32-250/55</t>
  </si>
  <si>
    <t>FSM 32-250/75</t>
  </si>
  <si>
    <t>FSM 32-250/92</t>
  </si>
  <si>
    <t>FSM 32-250/110</t>
  </si>
  <si>
    <t>FSM 32-250/150</t>
  </si>
  <si>
    <t>FSM 40-160/30</t>
  </si>
  <si>
    <t>FSM 40-160/40</t>
  </si>
  <si>
    <t>FSM 40-200/55</t>
  </si>
  <si>
    <t>FSM 40-200/75</t>
  </si>
  <si>
    <t>FSM 40-250/92</t>
  </si>
  <si>
    <t>FSM 40-250/110</t>
  </si>
  <si>
    <t>FSM 40-250/150</t>
  </si>
  <si>
    <t>FSM 40-250/185</t>
  </si>
  <si>
    <t>FSM 40-315/185</t>
  </si>
  <si>
    <t>FSM 40-315/220</t>
  </si>
  <si>
    <t>FSM 40-315/300</t>
  </si>
  <si>
    <t>FSM 40-315/370</t>
  </si>
  <si>
    <t>FSM 40-315/450</t>
  </si>
  <si>
    <t>FSM 50-125/22</t>
  </si>
  <si>
    <t>FSM 50-125/30</t>
  </si>
  <si>
    <t>FSM 50-125/40</t>
  </si>
  <si>
    <t>FSM 50-160/55</t>
  </si>
  <si>
    <t>FSM 50-160/75</t>
  </si>
  <si>
    <t>FSM 50-200/92</t>
  </si>
  <si>
    <t>FSM 50-200/110</t>
  </si>
  <si>
    <t>FSM 50-200/150</t>
  </si>
  <si>
    <t>FSM 50-250/150</t>
  </si>
  <si>
    <t>FSM 50-250/185</t>
  </si>
  <si>
    <t>FSM 50-250/220</t>
  </si>
  <si>
    <t>FSM 50-250/300</t>
  </si>
  <si>
    <t>FSM 50-315/300</t>
  </si>
  <si>
    <t>FSM 50-315/370</t>
  </si>
  <si>
    <t>FSM 50-315/450</t>
  </si>
  <si>
    <t>FSM 50-315/550</t>
  </si>
  <si>
    <t>FSM 50-315/750</t>
  </si>
  <si>
    <t>FSM 65-125/40</t>
  </si>
  <si>
    <t>FSM 65-125/55</t>
  </si>
  <si>
    <t>FSM 65-125/75</t>
  </si>
  <si>
    <t>FSM 65-160/92</t>
  </si>
  <si>
    <t>FSM 65-160/110</t>
  </si>
  <si>
    <t>FSM 65-160/150</t>
  </si>
  <si>
    <t>FSM 65-200/150</t>
  </si>
  <si>
    <t>FSM 65-200/185</t>
  </si>
  <si>
    <t>FSM 65-200/220</t>
  </si>
  <si>
    <t>FSM 65-250/220</t>
  </si>
  <si>
    <t>FSM 65-250/300</t>
  </si>
  <si>
    <t>FSM 65-250/370</t>
  </si>
  <si>
    <t>FSM 65-315/450</t>
  </si>
  <si>
    <t>FSM 65-315/550</t>
  </si>
  <si>
    <t>FSM 65-315/750</t>
  </si>
  <si>
    <t>FSM 65-315/900</t>
  </si>
  <si>
    <t>FSM 80-125/40</t>
  </si>
  <si>
    <t>FSM 80-125/55</t>
  </si>
  <si>
    <t>FSM 80-125/75</t>
  </si>
  <si>
    <t>FSM 80-160/110</t>
  </si>
  <si>
    <t>FSM 80-160/150</t>
  </si>
  <si>
    <t>FSM 80-160/185</t>
  </si>
  <si>
    <t>FSM 80-160/220</t>
  </si>
  <si>
    <t>FSM 80-200/220</t>
  </si>
  <si>
    <t>FSM 80-200/300</t>
  </si>
  <si>
    <t>FSM 80-250/370</t>
  </si>
  <si>
    <t>FSM 80-250/450</t>
  </si>
  <si>
    <t>FSM 80-250/550</t>
  </si>
  <si>
    <t>FSM 80-250/750</t>
  </si>
  <si>
    <t>FSM 80-315/450</t>
  </si>
  <si>
    <t>FSM 80-315/550</t>
  </si>
  <si>
    <t>FSM 80-315/750</t>
  </si>
  <si>
    <t>FSM 80-315/900</t>
  </si>
  <si>
    <t>FSM 80-315/1100</t>
  </si>
  <si>
    <t>FSM100-160/150</t>
  </si>
  <si>
    <t>FSM 100-160/185</t>
  </si>
  <si>
    <t>FSM 100-160/220</t>
  </si>
  <si>
    <t>FSM 100-200/220</t>
  </si>
  <si>
    <t>FSM 100-200/300</t>
  </si>
  <si>
    <t>FSM 100-200/370</t>
  </si>
  <si>
    <t>FSM 100-200/450</t>
  </si>
  <si>
    <t>FSM 100-250/450</t>
  </si>
  <si>
    <t>FSM100-250/550</t>
  </si>
  <si>
    <t>FSM 100-250/750</t>
  </si>
  <si>
    <t>FSM 100-250/900</t>
  </si>
  <si>
    <t>FSM 100-315/750</t>
  </si>
  <si>
    <t>FSM 100-315/900</t>
  </si>
  <si>
    <t>FSM 100-315/1100</t>
  </si>
  <si>
    <t>FSM 100-315/1320</t>
  </si>
  <si>
    <t>FSM 100-315/1600</t>
  </si>
  <si>
    <t>FSM 125-200/450</t>
  </si>
  <si>
    <t>FSM 125-200/550</t>
  </si>
  <si>
    <t>FSM 125-200/750</t>
  </si>
  <si>
    <t>FSM 125-250/550</t>
  </si>
  <si>
    <t>FSM 125-250/750</t>
  </si>
  <si>
    <t>FSM 125-250/900</t>
  </si>
  <si>
    <t>FSM 125-250/1100</t>
  </si>
  <si>
    <t>FSM 125-250H/900</t>
  </si>
  <si>
    <t>FSM 125-250H/1100</t>
  </si>
  <si>
    <t>FSM 125-250H/1320</t>
  </si>
  <si>
    <t>FSM 125-250H/1600</t>
  </si>
  <si>
    <t>FSM 125-315/1320</t>
  </si>
  <si>
    <t>FSM 125-315/1600</t>
  </si>
  <si>
    <t>FSM 125-315/1850</t>
  </si>
  <si>
    <t>FSM125-315/2000</t>
  </si>
  <si>
    <t>FSM 150-200/750</t>
  </si>
  <si>
    <t>FSM 150-200/900</t>
  </si>
  <si>
    <t>FSM 150-200/1100</t>
  </si>
  <si>
    <t>FSM 150-200/1320</t>
  </si>
  <si>
    <t>FSM 150-200/1600</t>
  </si>
  <si>
    <t>FSM 150-250/1100</t>
  </si>
  <si>
    <t>FSM 150-250/1320</t>
  </si>
  <si>
    <t>FSM 150-250/1600</t>
  </si>
  <si>
    <t>FSM 150-250/2000</t>
  </si>
  <si>
    <t>FSM 150-315/1850</t>
  </si>
  <si>
    <t>FSM 150-315/2500</t>
  </si>
  <si>
    <t>FSM 150-315/2800</t>
  </si>
  <si>
    <t>FSM 150-315/3150</t>
  </si>
  <si>
    <t>FSM4 65-160/11</t>
  </si>
  <si>
    <t>FSM4 65-160/15</t>
  </si>
  <si>
    <t>FSM4 65-160/22</t>
  </si>
  <si>
    <t>FSM4 65-200/15</t>
  </si>
  <si>
    <t>FSM4 65-200/22</t>
  </si>
  <si>
    <t>FSM4 65-200/30</t>
  </si>
  <si>
    <t>FSM4 65-250/30</t>
  </si>
  <si>
    <t>FSM4 65-250/40</t>
  </si>
  <si>
    <t>FSM4 65-250/55</t>
  </si>
  <si>
    <t>FSM4 65-315/40</t>
  </si>
  <si>
    <t>FSM4 65-315/55</t>
  </si>
  <si>
    <t>FSM4 65-315/75</t>
  </si>
  <si>
    <t>FSM4 65-315/110</t>
  </si>
  <si>
    <t>FSM4 65-315/150</t>
  </si>
  <si>
    <t>FSM4 80-160/15</t>
  </si>
  <si>
    <t>FSM4 80-160/22</t>
  </si>
  <si>
    <t>FSM4 80-200/30</t>
  </si>
  <si>
    <t>FSM4 80-200/40</t>
  </si>
  <si>
    <t>FSM4 80-250/40</t>
  </si>
  <si>
    <t>FSM4 80-250/55</t>
  </si>
  <si>
    <t>FSM4 80-250/75</t>
  </si>
  <si>
    <t>FSM4 80-250/110</t>
  </si>
  <si>
    <t>FSM4 80-315/55</t>
  </si>
  <si>
    <t>FSM4 80-315/75</t>
  </si>
  <si>
    <t>FSM4 80-315/110</t>
  </si>
  <si>
    <t>FSM4 80-315/150</t>
  </si>
  <si>
    <t>FSM4 80-400/185</t>
  </si>
  <si>
    <t>FSM4 80-400/220</t>
  </si>
  <si>
    <t>FSM4 80-400/300</t>
  </si>
  <si>
    <t>FSM4 80-400/370</t>
  </si>
  <si>
    <t>FSM4 100-160/22</t>
  </si>
  <si>
    <t>FSM4 100-160/30</t>
  </si>
  <si>
    <t>FSM4 100-160/40</t>
  </si>
  <si>
    <t>FSM4 100-200/40</t>
  </si>
  <si>
    <t>FSM4 100-200/55</t>
  </si>
  <si>
    <t>FSM4 100-200/75</t>
  </si>
  <si>
    <t>FSM4 100-200/92</t>
  </si>
  <si>
    <t>FSM4 100-250/55</t>
  </si>
  <si>
    <t>FSM4100-250/75</t>
  </si>
  <si>
    <t>FSM4 100-250/110</t>
  </si>
  <si>
    <t>FSM4  100-250/150</t>
  </si>
  <si>
    <t>FSM4 100-315/150</t>
  </si>
  <si>
    <t>FSM4  100-315/185</t>
  </si>
  <si>
    <t>FSM4  100-315/220</t>
  </si>
  <si>
    <t>FSM4 100-315/300</t>
  </si>
  <si>
    <t>FSM4  100-400/300</t>
  </si>
  <si>
    <t>FSM4  100-400/370</t>
  </si>
  <si>
    <t>FSM4  100-400/450</t>
  </si>
  <si>
    <t>FSM4 100-400/550</t>
  </si>
  <si>
    <t>FSM4  125-200/55</t>
  </si>
  <si>
    <t>FSM4  125-200/75</t>
  </si>
  <si>
    <t>FSM4  125-200/110</t>
  </si>
  <si>
    <t>FSM4  125-250/75</t>
  </si>
  <si>
    <t>FSM4  125-250/110</t>
  </si>
  <si>
    <t>FSM4  125-250/150</t>
  </si>
  <si>
    <t>FSM4  125-250/185</t>
  </si>
  <si>
    <t>FSM4  125-315/185</t>
  </si>
  <si>
    <t>FSM4  125-315/220</t>
  </si>
  <si>
    <t>FSM4  125-315/300</t>
  </si>
  <si>
    <t>FSM4  125-315/370</t>
  </si>
  <si>
    <t>FSM4  125-400/300</t>
  </si>
  <si>
    <t>FSM4  125-400/370</t>
  </si>
  <si>
    <t>FSM4 125-400/450</t>
  </si>
  <si>
    <t>FSM4  125-400/550</t>
  </si>
  <si>
    <t>FSM4  125-400/750</t>
  </si>
  <si>
    <t>FSM4  125-400/900</t>
  </si>
  <si>
    <t>FSM4  150-200/110</t>
  </si>
  <si>
    <t>FSM4  150-200/150</t>
  </si>
  <si>
    <t>FSM4  150-200/185</t>
  </si>
  <si>
    <t>FSM4  150-200/220</t>
  </si>
  <si>
    <t>FSM4  150-250/150</t>
  </si>
  <si>
    <t>FSM4  150-250/185</t>
  </si>
  <si>
    <t>FSM4  150-250/220</t>
  </si>
  <si>
    <t>FSM4  150-250/300</t>
  </si>
  <si>
    <t>FSM4  150-315/300</t>
  </si>
  <si>
    <t>FSM4  150-315/370</t>
  </si>
  <si>
    <t>FSM4  150-315/450</t>
  </si>
  <si>
    <t>FSM4  150-315/550</t>
  </si>
  <si>
    <t>FSM4  150-315/750</t>
  </si>
  <si>
    <t>FSM4  150-400/550</t>
  </si>
  <si>
    <t>FSM4  150-400/750</t>
  </si>
  <si>
    <t>FSM4  150-400/900</t>
  </si>
  <si>
    <t>FSM4  150-400/1100</t>
  </si>
  <si>
    <t>FSM4  150-400/1320</t>
  </si>
  <si>
    <t>FSM4  200-250/370</t>
  </si>
  <si>
    <t>FSM4  200-250/450</t>
  </si>
  <si>
    <t>FSM4  200-250/550</t>
  </si>
  <si>
    <t>FSM4  200-315/550</t>
  </si>
  <si>
    <t>FSM4  200-315/750</t>
  </si>
  <si>
    <t>FSM4  200-315/900</t>
  </si>
  <si>
    <t>FSM4  200-400/750</t>
  </si>
  <si>
    <t>FSM4  200-400/900</t>
  </si>
  <si>
    <t>FSM4  200-400/1100</t>
  </si>
  <si>
    <t>FSM4  200-400/1320</t>
  </si>
  <si>
    <t>FSM4  250-315/900</t>
  </si>
  <si>
    <t>FSM4  250-315/1100</t>
  </si>
  <si>
    <t>FSM4  250-315/1320</t>
  </si>
  <si>
    <t>FSM4  250-315/1600</t>
  </si>
  <si>
    <t>FSM4  250-400/1600</t>
  </si>
  <si>
    <t>FSM4  250-400/1850</t>
  </si>
  <si>
    <t>FSM4  250-400/2000</t>
  </si>
  <si>
    <t>FSM4  250-400/2200</t>
  </si>
  <si>
    <t>FSM4  250-400/2500</t>
  </si>
  <si>
    <r>
      <t xml:space="preserve">FZ  </t>
    </r>
    <r>
      <rPr>
        <b/>
        <sz val="18"/>
        <color indexed="9"/>
        <rFont val="Tahoma"/>
        <family val="2"/>
        <charset val="134"/>
      </rPr>
      <t>Stainless steel standard pump</t>
    </r>
  </si>
  <si>
    <t>FZ 32-160/11(316)</t>
  </si>
  <si>
    <t>FZ 32-160/15(316)</t>
  </si>
  <si>
    <t>FZ 32-160/22(316)</t>
  </si>
  <si>
    <t>FZ 32-200/30(316)</t>
  </si>
  <si>
    <t>FZ 32-200/40(316)</t>
  </si>
  <si>
    <t>FZ 32-200/55(316)</t>
  </si>
  <si>
    <t>FZ 40-125/15(316)</t>
  </si>
  <si>
    <t>FZ 40-125/22(316)</t>
  </si>
  <si>
    <t>FZ 40-160/30(316)</t>
  </si>
  <si>
    <t>FZ 40-160/40(316)</t>
  </si>
  <si>
    <t>FZ 40-200/55(316)</t>
  </si>
  <si>
    <t>FZ 40-200/75(316)</t>
  </si>
  <si>
    <t>FZ 40-200/110(316)</t>
  </si>
  <si>
    <t>FZ 50-125/30(316)</t>
  </si>
  <si>
    <t>FZ 50-125/40(316)</t>
  </si>
  <si>
    <t>FZ 50-160/55(316)</t>
  </si>
  <si>
    <t>FZ 50-160/75(316)</t>
  </si>
  <si>
    <t>FZ 50-200/92(316)</t>
  </si>
  <si>
    <t>FZ 50-200/110(316)</t>
  </si>
  <si>
    <t>FZ 50-200/150(316)</t>
  </si>
  <si>
    <t>FZ 65-125/40(316)</t>
  </si>
  <si>
    <t>FZ 65-125/55(316)</t>
  </si>
  <si>
    <t>FZ 65-125/75(316)</t>
  </si>
  <si>
    <t>FZ 65-160/92(316)</t>
  </si>
  <si>
    <t>FZ 65-160/110(316)</t>
  </si>
  <si>
    <t>FZ 65-160/150(316)</t>
  </si>
  <si>
    <t>FZ 65-200/150(316)</t>
  </si>
  <si>
    <t>FZ 65-200/185(316)</t>
  </si>
  <si>
    <t>FZ 65-200/220(316)</t>
  </si>
  <si>
    <t>FZ 80-160/110(316)</t>
  </si>
  <si>
    <t>FZ 80-160/150(316)</t>
  </si>
  <si>
    <t>FZ 80-160/185(316)</t>
  </si>
  <si>
    <t>FZ 80-200/220(316)</t>
  </si>
  <si>
    <t>FZ 80-200/300(316)</t>
  </si>
  <si>
    <t>FZ 80-200/370(316)</t>
  </si>
  <si>
    <t>Стандарная версия 120℃</t>
  </si>
  <si>
    <r>
      <t xml:space="preserve">FBG  </t>
    </r>
    <r>
      <rPr>
        <b/>
        <sz val="18"/>
        <color indexed="9"/>
        <rFont val="Tahoma"/>
        <family val="2"/>
        <charset val="134"/>
      </rPr>
      <t>Single speed circulation pump</t>
    </r>
  </si>
  <si>
    <t>FBG80-10F-360</t>
  </si>
  <si>
    <t>FBG80-12F-360</t>
  </si>
  <si>
    <t>FBG-F</t>
  </si>
  <si>
    <r>
      <t xml:space="preserve">FB  </t>
    </r>
    <r>
      <rPr>
        <b/>
        <sz val="18"/>
        <color indexed="9"/>
        <rFont val="Tahoma"/>
        <family val="2"/>
        <charset val="134"/>
      </rPr>
      <t>Three speed circulation pump</t>
    </r>
  </si>
  <si>
    <t>FB20-15-180</t>
  </si>
  <si>
    <t>FB(S)25-4-130</t>
  </si>
  <si>
    <t>FB(S)25-4-180</t>
  </si>
  <si>
    <t>FB(S)25-6-130</t>
  </si>
  <si>
    <t>FB(S)25-6-180</t>
  </si>
  <si>
    <t>FB(S)25-8-180</t>
  </si>
  <si>
    <t>FB(S)32-8-180</t>
  </si>
  <si>
    <t>FB(S)</t>
  </si>
  <si>
    <t>FB(S)20-12-180</t>
  </si>
  <si>
    <t>FB(B)25-4-130</t>
  </si>
  <si>
    <t>FB(B)25-4-180</t>
  </si>
  <si>
    <t>FB(B)25-6-130</t>
  </si>
  <si>
    <t>FB(B)25-6-180</t>
  </si>
  <si>
    <t>FB(B)32-6-180</t>
  </si>
  <si>
    <t>FB(B)25-8-180</t>
  </si>
  <si>
    <t>FB(B)32-8-180</t>
  </si>
  <si>
    <t>FB(B)</t>
  </si>
  <si>
    <t>FB(B)20-12-180</t>
  </si>
  <si>
    <t>Anti-corrosive coating cast iron/SS304/Brass</t>
  </si>
  <si>
    <r>
      <t xml:space="preserve">FBA  </t>
    </r>
    <r>
      <rPr>
        <b/>
        <sz val="18"/>
        <color indexed="9"/>
        <rFont val="Tahoma"/>
        <family val="2"/>
        <charset val="134"/>
      </rPr>
      <t>Automatic circulation pump</t>
    </r>
  </si>
  <si>
    <t>FBA20-15</t>
  </si>
  <si>
    <t>FBA(S)15-9</t>
  </si>
  <si>
    <t>FBA(S)15-10</t>
  </si>
  <si>
    <t>FBA(S)20-13</t>
  </si>
  <si>
    <t>FBA(B)15-9</t>
  </si>
  <si>
    <t>FBA(B)15-10</t>
  </si>
  <si>
    <t>FBA(S)</t>
  </si>
  <si>
    <t>FBA(B)20-13</t>
  </si>
  <si>
    <t>FBA(B)20-15</t>
  </si>
  <si>
    <t>FBA(B)</t>
  </si>
  <si>
    <t>FANCY PUMP (ZHEJIANG) CO.,LTD</t>
  </si>
  <si>
    <r>
      <t xml:space="preserve">FSC  </t>
    </r>
    <r>
      <rPr>
        <b/>
        <sz val="18"/>
        <color indexed="9"/>
        <rFont val="Tahoma"/>
        <family val="2"/>
        <charset val="134"/>
      </rPr>
      <t>Double suction split case pump</t>
    </r>
  </si>
  <si>
    <t>Material</t>
  </si>
  <si>
    <t>impeller</t>
  </si>
  <si>
    <t>Pump
Case</t>
  </si>
  <si>
    <t>Volt.</t>
  </si>
  <si>
    <t>Pump</t>
  </si>
  <si>
    <t>pump
+motor
+base</t>
  </si>
  <si>
    <t>FSC80-215/2</t>
  </si>
  <si>
    <t>125x80</t>
  </si>
  <si>
    <t>HT250</t>
  </si>
  <si>
    <t>380V</t>
  </si>
  <si>
    <t>FSC80-215A/2</t>
  </si>
  <si>
    <t>FSC80-215B/2</t>
  </si>
  <si>
    <t>FSC80-215C/2</t>
  </si>
  <si>
    <t>FSC80-215M/2</t>
  </si>
  <si>
    <t>FSC80-215MA/2</t>
  </si>
  <si>
    <t>FSC80-215MB/2</t>
  </si>
  <si>
    <t>FSC80-215MC/2</t>
  </si>
  <si>
    <t>FSC80-285/2</t>
  </si>
  <si>
    <t>FSC80-285A/2</t>
  </si>
  <si>
    <t>FSC80-285B/2</t>
  </si>
  <si>
    <t>FSC80-285C/2</t>
  </si>
  <si>
    <t>FSC80-285M/2</t>
  </si>
  <si>
    <t>FSC80-285MA/2</t>
  </si>
  <si>
    <t>FSC80-285MB/2</t>
  </si>
  <si>
    <t>FSC80-285MC/2</t>
  </si>
  <si>
    <t>FSC80-285/4</t>
  </si>
  <si>
    <t>FSC80-285A/4</t>
  </si>
  <si>
    <t>FSC80-285B/4</t>
  </si>
  <si>
    <t>FSC80-285C/4</t>
  </si>
  <si>
    <t>FSC80-285M/4</t>
  </si>
  <si>
    <t>FSC80-285MA/4</t>
  </si>
  <si>
    <t>FSC80-285MB/4</t>
  </si>
  <si>
    <t>FSC80-285MC/4</t>
  </si>
  <si>
    <t>FSC80-315/2</t>
  </si>
  <si>
    <t>QT500</t>
  </si>
  <si>
    <t>FSC80-315A/2</t>
  </si>
  <si>
    <t>FSC80-315B/2</t>
  </si>
  <si>
    <t>FSC80-315C/2</t>
  </si>
  <si>
    <t>FSC80-315M/2</t>
  </si>
  <si>
    <t>FSC80-315MA/2</t>
  </si>
  <si>
    <t>FSC80-315MB/2</t>
  </si>
  <si>
    <t>FSC80-315MC/2</t>
  </si>
  <si>
    <t>FSC80-345/4</t>
  </si>
  <si>
    <t>FSC80-345A/4</t>
  </si>
  <si>
    <t>FSC80-345B/4</t>
  </si>
  <si>
    <t>FSC80-345C/4</t>
  </si>
  <si>
    <t>FSC80-345M/4</t>
  </si>
  <si>
    <t>FSC80-345MA/4</t>
  </si>
  <si>
    <t>FSC80-345MB/4</t>
  </si>
  <si>
    <t>FSC80-345MC/4</t>
  </si>
  <si>
    <t>FSC100-165/2</t>
  </si>
  <si>
    <t>FSC100-165A/2</t>
  </si>
  <si>
    <t>FSC100-165B/2</t>
  </si>
  <si>
    <t>FSC100-165C/2</t>
  </si>
  <si>
    <t>FSC100-165M/2</t>
  </si>
  <si>
    <t>FSC100-165MA/2</t>
  </si>
  <si>
    <t>FSC100-165MB/2</t>
  </si>
  <si>
    <t>FSC100-165MC/2</t>
  </si>
  <si>
    <t>FSC100-260/2</t>
  </si>
  <si>
    <t>150x100</t>
  </si>
  <si>
    <t>FSC100-260A/2</t>
  </si>
  <si>
    <t>FSC100-260B/2</t>
  </si>
  <si>
    <t>FSC100-260C/2</t>
  </si>
  <si>
    <t>FSC100-260M/2</t>
  </si>
  <si>
    <t>FSC100-260MA/2</t>
  </si>
  <si>
    <t>FSC100-260MB/2</t>
  </si>
  <si>
    <t>FSC100-260MC/2</t>
  </si>
  <si>
    <t>FSC100-260/4</t>
  </si>
  <si>
    <t>FSC100-260A/4</t>
  </si>
  <si>
    <t>FSC100-260B/4</t>
  </si>
  <si>
    <t>FSC100-260C/4</t>
  </si>
  <si>
    <t>FSC100-260M/4</t>
  </si>
  <si>
    <t>FSC100-260MA/4</t>
  </si>
  <si>
    <t>FSC100-260MB/4</t>
  </si>
  <si>
    <t>FSC100-260MC/4</t>
  </si>
  <si>
    <t>FSC100-325/2</t>
  </si>
  <si>
    <t>FSC100-325A/2</t>
  </si>
  <si>
    <t>FSC100-325B/2</t>
  </si>
  <si>
    <t>FSC100-325C/2</t>
  </si>
  <si>
    <t>FSC100-325M/2</t>
  </si>
  <si>
    <t>FSC100-325MA/2</t>
  </si>
  <si>
    <t>FSC100-325MB/2</t>
  </si>
  <si>
    <t>FSC100-325MC/2</t>
  </si>
  <si>
    <t>FSC100-325/4</t>
  </si>
  <si>
    <t>FSC100-325A/4</t>
  </si>
  <si>
    <t>FSC100-325B/4</t>
  </si>
  <si>
    <t>FSC100-325C/4</t>
  </si>
  <si>
    <t>FSC100-325M/4</t>
  </si>
  <si>
    <t>FSC100-325MA/4</t>
  </si>
  <si>
    <t>FSC100-325MB/4</t>
  </si>
  <si>
    <t>FSC100-325MC/4</t>
  </si>
  <si>
    <t>FSC100-365/2</t>
  </si>
  <si>
    <t>FSC100-365A/2</t>
  </si>
  <si>
    <t>FSC100-365B/2</t>
  </si>
  <si>
    <t>FSC100-365C/2</t>
  </si>
  <si>
    <t>FSC100-365M/2</t>
  </si>
  <si>
    <t>FSC100-365MA/2</t>
  </si>
  <si>
    <t>FSC100-365MB/2</t>
  </si>
  <si>
    <t>FSC100-365MC/2</t>
  </si>
  <si>
    <t>FSC100-410/4</t>
  </si>
  <si>
    <t>FSC100-410A/4</t>
  </si>
  <si>
    <t>FSC100-410B/4</t>
  </si>
  <si>
    <t>FSC100-410C/4</t>
  </si>
  <si>
    <t>FSC100-410M/4</t>
  </si>
  <si>
    <t>FSC100-410MA/4</t>
  </si>
  <si>
    <t>FSC100-410MB/4</t>
  </si>
  <si>
    <t>FSC100-410MC/4</t>
  </si>
  <si>
    <t>FSC125-195/2</t>
  </si>
  <si>
    <t>FSC125-195A/2</t>
  </si>
  <si>
    <t>FSC125-195B/2</t>
  </si>
  <si>
    <t>FSC125-195C/2</t>
  </si>
  <si>
    <t>FSC125-195M/2</t>
  </si>
  <si>
    <t>FSC125-195MA/2</t>
  </si>
  <si>
    <t>FSC125-195MB/2</t>
  </si>
  <si>
    <t>FSC125-195MC/2</t>
  </si>
  <si>
    <t>FSC125-225/4</t>
  </si>
  <si>
    <t>FSC125-225A/4</t>
  </si>
  <si>
    <t>FSC125-225B/4</t>
  </si>
  <si>
    <t>FSC125-225C/4</t>
  </si>
  <si>
    <t>FSC125-225M/4</t>
  </si>
  <si>
    <t>FSC125-225MA/4</t>
  </si>
  <si>
    <t>FSC125-225MB/4</t>
  </si>
  <si>
    <t>FSC125-225MC/4</t>
  </si>
  <si>
    <t>FSC125-245/2</t>
  </si>
  <si>
    <t>200x125</t>
  </si>
  <si>
    <t>FSC125-245A/2</t>
  </si>
  <si>
    <t>FSC125-245B/2</t>
  </si>
  <si>
    <t>FSC125-245C/2</t>
  </si>
  <si>
    <t>FSC125-245M/2</t>
  </si>
  <si>
    <t>FSC125-245MA/2</t>
  </si>
  <si>
    <t>FSC125-245MB/2</t>
  </si>
  <si>
    <t>FSC125-245MC/2</t>
  </si>
  <si>
    <t>FSC125-245/4</t>
  </si>
  <si>
    <t>FSC125-245A/4</t>
  </si>
  <si>
    <t>FSC125-245B/4</t>
  </si>
  <si>
    <t>FSC125-245C/4</t>
  </si>
  <si>
    <t>FSC125-245M/4</t>
  </si>
  <si>
    <t>FSC125-245MA/4</t>
  </si>
  <si>
    <t>FSC125-245MB/4</t>
  </si>
  <si>
    <t>FSC125-245MC/4</t>
  </si>
  <si>
    <t>FSC125-300/2</t>
  </si>
  <si>
    <t>FSC125-300A/2</t>
  </si>
  <si>
    <t>FSC125-300B/2</t>
  </si>
  <si>
    <t>FSC125-300C/2</t>
  </si>
  <si>
    <t>FSC125-300M/2</t>
  </si>
  <si>
    <t>FSC125-300MA/2</t>
  </si>
  <si>
    <t>FSC125-300MB/2</t>
  </si>
  <si>
    <t>FSC125-300MC/2</t>
  </si>
  <si>
    <t>FSC125-300/4</t>
  </si>
  <si>
    <t>FSC125-300A/4</t>
  </si>
  <si>
    <t>FSC125-300B/4</t>
  </si>
  <si>
    <t>FSC125-300C/4</t>
  </si>
  <si>
    <t>FSC125-300M/4</t>
  </si>
  <si>
    <t>FSC125-300MA/4</t>
  </si>
  <si>
    <t>FSC125-300MB/4</t>
  </si>
  <si>
    <t>FSC125-300MC/4</t>
  </si>
  <si>
    <t>FSC125-355/2</t>
  </si>
  <si>
    <t>FSC125-355A/2</t>
  </si>
  <si>
    <t>FSC125-355B/2</t>
  </si>
  <si>
    <t>FSC125-355C/2</t>
  </si>
  <si>
    <t>FSC125-355M/2</t>
  </si>
  <si>
    <t>FSC125-355MA/2</t>
  </si>
  <si>
    <t>FSC125-355MB/2</t>
  </si>
  <si>
    <t>FSC125-355MC/2</t>
  </si>
  <si>
    <t>FSC125-390/4</t>
  </si>
  <si>
    <t>FSC125-390A/4</t>
  </si>
  <si>
    <t>FSC125-390B/4</t>
  </si>
  <si>
    <t>FSC125-390C/4</t>
  </si>
  <si>
    <t>FSC125-390M/4</t>
  </si>
  <si>
    <t>FSC125-390MA/4</t>
  </si>
  <si>
    <t>FSC125-390MB/4</t>
  </si>
  <si>
    <t>FSC125-390MC/4</t>
  </si>
  <si>
    <t>FSC125-475/4</t>
  </si>
  <si>
    <t>FSC125-475A/4</t>
  </si>
  <si>
    <t>FSC125-475B/4</t>
  </si>
  <si>
    <t>FSC125-475C/4</t>
  </si>
  <si>
    <t>FSC125-475M/4</t>
  </si>
  <si>
    <t>FSC125-475MA/4</t>
  </si>
  <si>
    <t>FSC125-475MB/4</t>
  </si>
  <si>
    <t>FSC125-475MC/4</t>
  </si>
  <si>
    <t>FSC150-170/4</t>
  </si>
  <si>
    <t>FSC150-170A/4</t>
  </si>
  <si>
    <t>FSC150-170B/4</t>
  </si>
  <si>
    <t>FSC150-170C/4</t>
  </si>
  <si>
    <t>FSC150-170M/4</t>
  </si>
  <si>
    <t>FSC150-170MA/4</t>
  </si>
  <si>
    <t>FSC150-170MB/4</t>
  </si>
  <si>
    <t>FSC150-170MC/4</t>
  </si>
  <si>
    <t>FSC150-280/2</t>
  </si>
  <si>
    <t>250x150</t>
  </si>
  <si>
    <t>FSC150-280A/2</t>
  </si>
  <si>
    <t>FSC150-280B/2</t>
  </si>
  <si>
    <t>FSC150-280C/2</t>
  </si>
  <si>
    <t>FSC150-280M/2</t>
  </si>
  <si>
    <t>FSC150-280MA/2</t>
  </si>
  <si>
    <t>FSC150-280MB/2</t>
  </si>
  <si>
    <t>FSC150-280MC/2</t>
  </si>
  <si>
    <t>FSC150-300/4</t>
  </si>
  <si>
    <t>FSC150-300A/4</t>
  </si>
  <si>
    <t>FSC150-300B/4</t>
  </si>
  <si>
    <t>FSC150-300C/4</t>
  </si>
  <si>
    <t>FSC150-300M/4</t>
  </si>
  <si>
    <t>FSC150-300MA/4</t>
  </si>
  <si>
    <t>FSC150-300MB/4</t>
  </si>
  <si>
    <t>FSC150-300MC/4</t>
  </si>
  <si>
    <t>FSC150-355/4</t>
  </si>
  <si>
    <t>FSC150-355A/4</t>
  </si>
  <si>
    <t>FSC150-355B/4</t>
  </si>
  <si>
    <t>FSC150-355C/4</t>
  </si>
  <si>
    <t>FSC150-355M/4</t>
  </si>
  <si>
    <t>FSC150-355MA/4</t>
  </si>
  <si>
    <t>FSC150-355MB/4</t>
  </si>
  <si>
    <t>FSC150-355MC/4</t>
  </si>
  <si>
    <t>FSC150-455/4</t>
  </si>
  <si>
    <t>FSC150-455A/4</t>
  </si>
  <si>
    <t>FSC150-455B/4</t>
  </si>
  <si>
    <t>FSC150-455C/4</t>
  </si>
  <si>
    <t>FSC150-455M/4</t>
  </si>
  <si>
    <t>FSC150-455MA/4</t>
  </si>
  <si>
    <t>FSC150-455MB/4</t>
  </si>
  <si>
    <t>FSC150-455MC/4</t>
  </si>
  <si>
    <t>FSC150-560/4</t>
  </si>
  <si>
    <t>FSC150-560A/4</t>
  </si>
  <si>
    <t>FSC150-560B/4</t>
  </si>
  <si>
    <t>FSC150-560C/4</t>
  </si>
  <si>
    <t>FSC150-560M/4</t>
  </si>
  <si>
    <t>FSC150-560MA/4</t>
  </si>
  <si>
    <t>FSC150-560MB/4</t>
  </si>
  <si>
    <t>FSC150-560MC/4</t>
  </si>
  <si>
    <t>FSC200-200/4</t>
  </si>
  <si>
    <t>FSC200-200A/4</t>
  </si>
  <si>
    <t>FSC200-200B/4</t>
  </si>
  <si>
    <t>FSC200-200C/4</t>
  </si>
  <si>
    <t>FSC200-200M/4</t>
  </si>
  <si>
    <t>FSC200-200MA/4</t>
  </si>
  <si>
    <t>FSC200-200MB/4</t>
  </si>
  <si>
    <t>FSC200-200MC/4</t>
  </si>
  <si>
    <t>FSC200-250/4</t>
  </si>
  <si>
    <t>FSC200-250A/4</t>
  </si>
  <si>
    <t>FSC200-250B/4</t>
  </si>
  <si>
    <t>FSC200-250C/4</t>
  </si>
  <si>
    <t>FSC200-250M/4</t>
  </si>
  <si>
    <t>FSC200-250MA/4</t>
  </si>
  <si>
    <t>FSC200-250MB/4</t>
  </si>
  <si>
    <t>FSC200-250MC/4</t>
  </si>
  <si>
    <t>FSC200-345/4</t>
  </si>
  <si>
    <t>FSC200-345A/4</t>
  </si>
  <si>
    <t>FSC200-345B/4</t>
  </si>
  <si>
    <t>FSC200-345C/4</t>
  </si>
  <si>
    <t>FSC200-345M/4</t>
  </si>
  <si>
    <t>FSC200-345MA/4</t>
  </si>
  <si>
    <t>FSC200-345MB/4</t>
  </si>
  <si>
    <t>FSC200-345MC/4</t>
  </si>
  <si>
    <t>FSC200-425/4</t>
  </si>
  <si>
    <t>FSC200-425A/4</t>
  </si>
  <si>
    <t>FSC200-425B/4</t>
  </si>
  <si>
    <t>FSC200-425C/4</t>
  </si>
  <si>
    <t>FSC200-425M/4</t>
  </si>
  <si>
    <t>FSC200-425MA/4</t>
  </si>
  <si>
    <t>FSC200-425MB/4</t>
  </si>
  <si>
    <t>FSC200-425MC/4</t>
  </si>
  <si>
    <t>FSC200-530/4</t>
  </si>
  <si>
    <t>FSC200-530A/4</t>
  </si>
  <si>
    <t>FSC200-530B/4</t>
  </si>
  <si>
    <t>FSC200-530C/4</t>
  </si>
  <si>
    <t>FSC200-530M/4</t>
  </si>
  <si>
    <t>FSC200-530MA/4</t>
  </si>
  <si>
    <t>FSC200-530MB/4</t>
  </si>
  <si>
    <t>FSC200-530MC/4</t>
  </si>
  <si>
    <t>FSC200-655/4</t>
  </si>
  <si>
    <t>6000V</t>
  </si>
  <si>
    <t>FSC200-655A/4</t>
  </si>
  <si>
    <t>FSC200-655B/4</t>
  </si>
  <si>
    <t>FSC200-655C/4</t>
  </si>
  <si>
    <t>FSC200-655M/4</t>
  </si>
  <si>
    <t>FSC200-655MA/4</t>
  </si>
  <si>
    <t>FSC200-655MB/4</t>
  </si>
  <si>
    <t>FSC200-655MC/4</t>
  </si>
  <si>
    <t>FSC250-200/4</t>
  </si>
  <si>
    <t>FSC250-200A/4</t>
  </si>
  <si>
    <t>FSC250-200B/4</t>
  </si>
  <si>
    <t>FSC250-200M/4</t>
  </si>
  <si>
    <t>FSC250-200MA/4</t>
  </si>
  <si>
    <t>FSC250-200MB/4</t>
  </si>
  <si>
    <t>FSC250-390/4</t>
  </si>
  <si>
    <t>FSC250-390A/4</t>
  </si>
  <si>
    <t>FSC250-390B/4</t>
  </si>
  <si>
    <t>FSC250-390C/4</t>
  </si>
  <si>
    <t>FSC250-390M/4</t>
  </si>
  <si>
    <t>FSC250-390MA/4</t>
  </si>
  <si>
    <t>FSC250-390MB/4</t>
  </si>
  <si>
    <t>FSC250-390MC/4</t>
  </si>
  <si>
    <t>FSC250-480/4</t>
  </si>
  <si>
    <t>FSC250-480A/4</t>
  </si>
  <si>
    <t>FSC250-480B/4</t>
  </si>
  <si>
    <t>FSC250-480C/4</t>
  </si>
  <si>
    <t>FSC250-480M/4</t>
  </si>
  <si>
    <t>FSC250-480MA/4</t>
  </si>
  <si>
    <t>FSC250-480MB/4</t>
  </si>
  <si>
    <t>FSC250-480MC/4</t>
  </si>
  <si>
    <t>FSC250-610/4</t>
  </si>
  <si>
    <t>FSC250-610A/4</t>
  </si>
  <si>
    <t>FSC250-610B/4</t>
  </si>
  <si>
    <t>FSC250-610C/4</t>
  </si>
  <si>
    <t>FSC250-610M/4</t>
  </si>
  <si>
    <t>FSC250-610MA/4</t>
  </si>
  <si>
    <t>FSC250-610MB/4</t>
  </si>
  <si>
    <t>FSC250-610MC/4</t>
  </si>
  <si>
    <t>FSC250-770/4</t>
  </si>
  <si>
    <t>FSC250-770A/4</t>
  </si>
  <si>
    <t>FSC250-770B/4</t>
  </si>
  <si>
    <t>FSC250-770C/4</t>
  </si>
  <si>
    <t>FSC250-770M/4</t>
  </si>
  <si>
    <t>FSC250-770MA/4</t>
  </si>
  <si>
    <t>FSC250-770MB/4</t>
  </si>
  <si>
    <t>FSC250-770MC/4</t>
  </si>
  <si>
    <t>FSC300-225/4</t>
  </si>
  <si>
    <t>300x300</t>
  </si>
  <si>
    <t>FSC300-225A/4</t>
  </si>
  <si>
    <t>FSC300-225B/4</t>
  </si>
  <si>
    <t>FSC300-225M/4</t>
  </si>
  <si>
    <t>FSC300-225MA/4</t>
  </si>
  <si>
    <t>FSC300-225MB/4</t>
  </si>
  <si>
    <t>FSC300-255/4</t>
  </si>
  <si>
    <t>FSC300-255A/4</t>
  </si>
  <si>
    <t>FSC300-255B/4</t>
  </si>
  <si>
    <t>FSC300-255M/4</t>
  </si>
  <si>
    <t>FSC300-255MA/4</t>
  </si>
  <si>
    <t>FSC300-255MB/4</t>
  </si>
  <si>
    <t>FSC300-330/4</t>
  </si>
  <si>
    <t>350x300</t>
  </si>
  <si>
    <t>FSC300-330A/4</t>
  </si>
  <si>
    <t>FSC300-330B/4</t>
  </si>
  <si>
    <t>FSC300-330C/4</t>
  </si>
  <si>
    <t>FSC300-330M/4</t>
  </si>
  <si>
    <t>FSC300-330MA/4</t>
  </si>
  <si>
    <t>FSC300-330MB/4</t>
  </si>
  <si>
    <t>FSC300-330MC/4</t>
  </si>
  <si>
    <t>FSC300-450/4</t>
  </si>
  <si>
    <t>400x300</t>
  </si>
  <si>
    <t>FSC300-450A/4</t>
  </si>
  <si>
    <t>FSC300-450B/4</t>
  </si>
  <si>
    <t>FSC300-450C/4</t>
  </si>
  <si>
    <t>FSC300-450M/4</t>
  </si>
  <si>
    <t>FSC300-450MA/4</t>
  </si>
  <si>
    <t>FSC300-450MB/4</t>
  </si>
  <si>
    <t>FSC300-450MC/4</t>
  </si>
  <si>
    <t>FSC300-550/4</t>
  </si>
  <si>
    <t>FSC300-550A/4</t>
  </si>
  <si>
    <t>FSC300-550B/4</t>
  </si>
  <si>
    <t>FSC300-550C/4</t>
  </si>
  <si>
    <t>FSC300-550M/4</t>
  </si>
  <si>
    <t>FSC300-550MA/4</t>
  </si>
  <si>
    <t>FSC300-550MB/4</t>
  </si>
  <si>
    <t>FSC300-550MC/4</t>
  </si>
  <si>
    <t>FSC300-705/4</t>
  </si>
  <si>
    <t>FSC300-705A/4</t>
  </si>
  <si>
    <t>FSC300-705B/4</t>
  </si>
  <si>
    <t>FSC300-705C/4</t>
  </si>
  <si>
    <t>FSC300-705M/4</t>
  </si>
  <si>
    <t>FSC300-705MA/4</t>
  </si>
  <si>
    <t>FSC300-705MB/4</t>
  </si>
  <si>
    <t>FSC300-705MC/4</t>
  </si>
  <si>
    <t>FSC350-300/4</t>
  </si>
  <si>
    <t>350x350</t>
  </si>
  <si>
    <t>FSC350-300A/4</t>
  </si>
  <si>
    <t>FSC350-300B/4</t>
  </si>
  <si>
    <t>FSC350-300M/4</t>
  </si>
  <si>
    <t>FSC350-300MA/4</t>
  </si>
  <si>
    <t>FSC350-300MB/4</t>
  </si>
  <si>
    <t>FSC350-385/4</t>
  </si>
  <si>
    <t>400x350</t>
  </si>
  <si>
    <t>1480</t>
  </si>
  <si>
    <t>FSC350-385A/4</t>
  </si>
  <si>
    <t>185</t>
  </si>
  <si>
    <t>FSC350-385B/4</t>
  </si>
  <si>
    <t>160</t>
  </si>
  <si>
    <t>FSC350-385C/4</t>
  </si>
  <si>
    <t>90</t>
  </si>
  <si>
    <t>FSC350-385M/4</t>
  </si>
  <si>
    <t>FSC350-385MA/4</t>
  </si>
  <si>
    <t>132</t>
  </si>
  <si>
    <t>FSC350-385MB/4</t>
  </si>
  <si>
    <t>110</t>
  </si>
  <si>
    <t>FSC350-385MC/4</t>
  </si>
  <si>
    <t>75</t>
  </si>
  <si>
    <t>FSC350-450/4</t>
  </si>
  <si>
    <t>500</t>
  </si>
  <si>
    <t>450x350</t>
  </si>
  <si>
    <t>FSC350-450A/4</t>
  </si>
  <si>
    <t>450</t>
  </si>
  <si>
    <t>FSC350-450B/4</t>
  </si>
  <si>
    <t>355</t>
  </si>
  <si>
    <t>FSC350-450C/4</t>
  </si>
  <si>
    <t>220</t>
  </si>
  <si>
    <t>FSC350-450M/4</t>
  </si>
  <si>
    <t>400</t>
  </si>
  <si>
    <t>FSC350-450MA/4</t>
  </si>
  <si>
    <t>FSC350-450MB/4</t>
  </si>
  <si>
    <t>FSC350-450MC/4</t>
  </si>
  <si>
    <t>FSC350-530/4</t>
  </si>
  <si>
    <t>800</t>
  </si>
  <si>
    <t>FSC350-530A/4</t>
  </si>
  <si>
    <t>710</t>
  </si>
  <si>
    <t>FSC350-530B/4</t>
  </si>
  <si>
    <t>FSC350-530C/4</t>
  </si>
  <si>
    <t>315</t>
  </si>
  <si>
    <t>FSC350-530M/4</t>
  </si>
  <si>
    <t>630</t>
  </si>
  <si>
    <t>FSC350-530MA/4</t>
  </si>
  <si>
    <t>560</t>
  </si>
  <si>
    <t>FSC350-530MB/4</t>
  </si>
  <si>
    <t>FSC350-530MC/4</t>
  </si>
  <si>
    <t>FSC350-685/6</t>
  </si>
  <si>
    <t>500x350</t>
  </si>
  <si>
    <t>980</t>
  </si>
  <si>
    <t>FSC350-685A/6</t>
  </si>
  <si>
    <t>FSC350-685B/6</t>
  </si>
  <si>
    <t>280</t>
  </si>
  <si>
    <t>FSC350-685C/6</t>
  </si>
  <si>
    <t>FSC350-685M/6</t>
  </si>
  <si>
    <t>FSC350-685MA/6</t>
  </si>
  <si>
    <t>FSC350-685MB/6</t>
  </si>
  <si>
    <t>FSC350-685MC/6</t>
  </si>
  <si>
    <t>FSC350-690/4</t>
  </si>
  <si>
    <t>1600</t>
  </si>
  <si>
    <t>FSC350-690A/4</t>
  </si>
  <si>
    <t>1250</t>
  </si>
  <si>
    <t>FSC350-690B/4</t>
  </si>
  <si>
    <t>900</t>
  </si>
  <si>
    <t>FSC350-690C/4</t>
  </si>
  <si>
    <t>FSC350-690M/4</t>
  </si>
  <si>
    <t>FSC350-690MA/4</t>
  </si>
  <si>
    <t>1000</t>
  </si>
  <si>
    <t>FSC350-690MB/4</t>
  </si>
  <si>
    <t>FSC350-690MC/4</t>
  </si>
  <si>
    <t>FSC350-780/4</t>
  </si>
  <si>
    <t>2240</t>
  </si>
  <si>
    <t>FSC350-780A/4</t>
  </si>
  <si>
    <t>1800</t>
  </si>
  <si>
    <t>FSC350-780B/4</t>
  </si>
  <si>
    <t>FSC350-780C/4</t>
  </si>
  <si>
    <t>FSC350-780M/4</t>
  </si>
  <si>
    <t>FSC350-780MA/4</t>
  </si>
  <si>
    <t>1400</t>
  </si>
  <si>
    <t>FSC350-780MB/4</t>
  </si>
  <si>
    <t>FSC350-780MC/4</t>
  </si>
  <si>
    <t>FSC350-845/6</t>
  </si>
  <si>
    <t>FSC350-845A/6</t>
  </si>
  <si>
    <t>FSC350-845B/6</t>
  </si>
  <si>
    <t>FSC350-845C/6</t>
  </si>
  <si>
    <t>FSC350-845M/6</t>
  </si>
  <si>
    <t>FSC350-845MA/6</t>
  </si>
  <si>
    <t>FSC350-845MB/6</t>
  </si>
  <si>
    <t>FSC350-845MC/6</t>
  </si>
  <si>
    <t>FSC400-340/4</t>
  </si>
  <si>
    <t>450x400</t>
  </si>
  <si>
    <t>FSC400-340A/4</t>
  </si>
  <si>
    <t>FSC400-340B/4</t>
  </si>
  <si>
    <t>FSC400-340M/4</t>
  </si>
  <si>
    <t>FSC400-340MA/4</t>
  </si>
  <si>
    <t>FSC400-340MB/4</t>
  </si>
  <si>
    <t>FSC400-440/6</t>
  </si>
  <si>
    <t>500x400</t>
  </si>
  <si>
    <t>FSC400-440A/6</t>
  </si>
  <si>
    <t>FSC400-440B/6</t>
  </si>
  <si>
    <t>FSC400-440C/6</t>
  </si>
  <si>
    <t>FSC400-440M/6</t>
  </si>
  <si>
    <t>FSC400-440MA/6</t>
  </si>
  <si>
    <t>FSC400-440MB/6</t>
  </si>
  <si>
    <t>FSC400-440MC/6</t>
  </si>
  <si>
    <t>FSC400-525/4</t>
  </si>
  <si>
    <t>FSC400-525A/4</t>
  </si>
  <si>
    <t>FSC400-525B/4</t>
  </si>
  <si>
    <t>FSC400-525C/4</t>
  </si>
  <si>
    <t>FSC400-525M/4</t>
  </si>
  <si>
    <t>FSC400-525MA/4</t>
  </si>
  <si>
    <t>FSC400-525MB/4</t>
  </si>
  <si>
    <t>FSC400-525MC/4</t>
  </si>
  <si>
    <t>FSC400-535/6</t>
  </si>
  <si>
    <t>FSC400-535A/6</t>
  </si>
  <si>
    <t>FSC400-535B/6</t>
  </si>
  <si>
    <t>FSC400-535C/6</t>
  </si>
  <si>
    <t>FSC400-535M/6</t>
  </si>
  <si>
    <t>FSC400-535MA/6</t>
  </si>
  <si>
    <t>FSC400-535MB/6</t>
  </si>
  <si>
    <t>FSC400-535MC/6</t>
  </si>
  <si>
    <t>FSC400-580/4</t>
  </si>
  <si>
    <t>FSC400-580A/4</t>
  </si>
  <si>
    <t>FSC400-580B/4</t>
  </si>
  <si>
    <t>FSC400-580C/4</t>
  </si>
  <si>
    <t>FSC400-580M/4</t>
  </si>
  <si>
    <t>FSC400-580MA/4</t>
  </si>
  <si>
    <t>FSC400-580MB/4</t>
  </si>
  <si>
    <t>FSC400-580MC/4</t>
  </si>
  <si>
    <t>FSC400-800/6</t>
  </si>
  <si>
    <t>600x400</t>
  </si>
  <si>
    <t>FSC400-800A/6</t>
  </si>
  <si>
    <t>FSC400-800B/6</t>
  </si>
  <si>
    <t>FSC400-800C/6</t>
  </si>
  <si>
    <t>FSC400-800M/6</t>
  </si>
  <si>
    <t>FSC400-800MA/6</t>
  </si>
  <si>
    <t>FSC400-800MB/6</t>
  </si>
  <si>
    <t>FSC400-800MC/6</t>
  </si>
  <si>
    <t>FSC400-970/6</t>
  </si>
  <si>
    <t>FSC400-970A/6</t>
  </si>
  <si>
    <t>FSC400-970B/6</t>
  </si>
  <si>
    <t>FSC400-970C/6</t>
  </si>
  <si>
    <t>FSC400-970M/6</t>
  </si>
  <si>
    <t>FSC400-970MA/6</t>
  </si>
  <si>
    <t>FSC400-970MB/6</t>
  </si>
  <si>
    <t>FSC400-970MC/6</t>
  </si>
  <si>
    <t>FSC450-390/4</t>
  </si>
  <si>
    <t>500x450</t>
  </si>
  <si>
    <t>FSC450-390A/4</t>
  </si>
  <si>
    <t>FSC450-390B/4</t>
  </si>
  <si>
    <t>FSC450-390M/4</t>
  </si>
  <si>
    <t>FSC450-390MA/4</t>
  </si>
  <si>
    <t>FSC450-390MB/4</t>
  </si>
  <si>
    <t>FSC500-385/6</t>
  </si>
  <si>
    <t>500x500</t>
  </si>
  <si>
    <t>FSC500-385A/6</t>
  </si>
  <si>
    <t>FSC500-385B/6</t>
  </si>
  <si>
    <t>FSC500-385M/6</t>
  </si>
  <si>
    <t>FSC500-385MA/6</t>
  </si>
  <si>
    <t>FSC500-385MB/6</t>
  </si>
  <si>
    <t>FSC500-450/4</t>
  </si>
  <si>
    <t>600x500</t>
  </si>
  <si>
    <t>FSC500-450A/4</t>
  </si>
  <si>
    <t>FSC500-450B/4</t>
  </si>
  <si>
    <t>FSC500-450M/4</t>
  </si>
  <si>
    <t>FSC500-450MA/4</t>
  </si>
  <si>
    <t>FSC500-450MB/4</t>
  </si>
  <si>
    <t>FSC500-495/6</t>
  </si>
  <si>
    <t>FSC500-495A/6</t>
  </si>
  <si>
    <t>FSC500-495B/6</t>
  </si>
  <si>
    <t>FSC500-495M/6</t>
  </si>
  <si>
    <t>FSC500-495MA/6</t>
  </si>
  <si>
    <t>FSC500-495MB/6</t>
  </si>
  <si>
    <t>FSC500-525/6</t>
  </si>
  <si>
    <t>FSC500-525A/6</t>
  </si>
  <si>
    <t>FSC500-525B/6</t>
  </si>
  <si>
    <t>FSC500-525C/6</t>
  </si>
  <si>
    <t>FSC500-525M/6</t>
  </si>
  <si>
    <t>FSC500-525MA/6</t>
  </si>
  <si>
    <t>FSC500-525MB/6</t>
  </si>
  <si>
    <t>FSC500-525MC/6</t>
  </si>
  <si>
    <t>FSC500-625/6</t>
  </si>
  <si>
    <t>FSC500-625A/6</t>
  </si>
  <si>
    <t>FSC500-625B/6</t>
  </si>
  <si>
    <t>FSC500-625C/6</t>
  </si>
  <si>
    <t>FSC500-625M/6</t>
  </si>
  <si>
    <t>FSC500-625MA/6</t>
  </si>
  <si>
    <t>FSC500-625MB/6</t>
  </si>
  <si>
    <t>FSC500-625MC/6</t>
  </si>
  <si>
    <t>FSC500-715/6</t>
  </si>
  <si>
    <t>700x500</t>
  </si>
  <si>
    <t>FSC500-715A/6</t>
  </si>
  <si>
    <t>FSC500-715B/6</t>
  </si>
  <si>
    <t>FSC500-715C/6</t>
  </si>
  <si>
    <t>FSC500-715M/6</t>
  </si>
  <si>
    <t>FSC500-715MA/6</t>
  </si>
  <si>
    <t>FSC500-715MB/6</t>
  </si>
  <si>
    <t>FSC500-715MC/6</t>
  </si>
  <si>
    <t>FSC500-920/6</t>
  </si>
  <si>
    <t>FSC500-920A/6</t>
  </si>
  <si>
    <t>FSC500-920B/6</t>
  </si>
  <si>
    <t>FSC500-920C/6</t>
  </si>
  <si>
    <t>FSC500-920M/6</t>
  </si>
  <si>
    <t>FSC500-920MA/6</t>
  </si>
  <si>
    <t>FSC500-920MB/6</t>
  </si>
  <si>
    <t>FSC500-920MC/6</t>
  </si>
  <si>
    <t>FSC600-575/6</t>
  </si>
  <si>
    <t>700x600</t>
  </si>
  <si>
    <t>FSC600-575A/6</t>
  </si>
  <si>
    <t>FSC600-575B/6</t>
  </si>
  <si>
    <t>FSC600-575C/6</t>
  </si>
  <si>
    <t>FSC600-575M/6</t>
  </si>
  <si>
    <t>FSC600-575MA/6</t>
  </si>
  <si>
    <t>FSC600-575MB/6</t>
  </si>
  <si>
    <t>FSC600-575MC/6</t>
  </si>
  <si>
    <t>FSC600-610/6</t>
  </si>
  <si>
    <t>FSC600-610A/6</t>
  </si>
  <si>
    <t>FSC600-610B/6</t>
  </si>
  <si>
    <t>FSC600-610C/6</t>
  </si>
  <si>
    <t>FSC600-610M/6</t>
  </si>
  <si>
    <t>FSC600-610MA/6</t>
  </si>
  <si>
    <t>FSC600-610MB/6</t>
  </si>
  <si>
    <t>FSC600-610MC/6</t>
  </si>
  <si>
    <t>FSC600-810/6</t>
  </si>
  <si>
    <t>800x600</t>
  </si>
  <si>
    <t>FSC600-810A/6</t>
  </si>
  <si>
    <t>FSC600-810B/6</t>
  </si>
  <si>
    <t>FSC600-810C/6</t>
  </si>
  <si>
    <t>FSC600-810M/6</t>
  </si>
  <si>
    <t>FSC600-810MA/6</t>
  </si>
  <si>
    <t>FSC600-810MB/6</t>
  </si>
  <si>
    <t>FSC600-810MC/6</t>
  </si>
  <si>
    <t>FSC600-1000/6</t>
  </si>
  <si>
    <t>FSC600-1000A/6</t>
  </si>
  <si>
    <t>FSC600-1000B/6</t>
  </si>
  <si>
    <t>FSC600-1000C/6</t>
  </si>
  <si>
    <t>FSC600-1000M/6</t>
  </si>
  <si>
    <t>FSC600-1000MA/6</t>
  </si>
  <si>
    <t>FSC600-1000MB/6</t>
  </si>
  <si>
    <t>FSC600-1000MC/6</t>
  </si>
  <si>
    <t>FSC600-1115/8</t>
  </si>
  <si>
    <t>FSC600-1115A/8</t>
  </si>
  <si>
    <t>FSC600-1115B/8</t>
  </si>
  <si>
    <t>FSC600-1115C/8</t>
  </si>
  <si>
    <t>FSC600-1115M/8</t>
  </si>
  <si>
    <t>FSC600-1115MA/8</t>
  </si>
  <si>
    <t>FSC600-1115MB/8</t>
  </si>
  <si>
    <t>FSC600-1115MC/8</t>
  </si>
  <si>
    <t>FSC700-535/6</t>
  </si>
  <si>
    <t>700x700</t>
  </si>
  <si>
    <t>FSC700-535A/6</t>
  </si>
  <si>
    <t>FSC700-535B/6</t>
  </si>
  <si>
    <t>FSC700-535M/6</t>
  </si>
  <si>
    <t>FSC700-535MA/6</t>
  </si>
  <si>
    <t>FSC700-535MB/6</t>
  </si>
  <si>
    <t>FSC700-600/6</t>
  </si>
  <si>
    <t>FSC700-600A/6</t>
  </si>
  <si>
    <t>FSC700-600M/6</t>
  </si>
  <si>
    <t>FSC700-600MA/6</t>
  </si>
  <si>
    <t>FSC700-615/6</t>
  </si>
  <si>
    <t>800x700</t>
  </si>
  <si>
    <t>FSC700-615A/6</t>
  </si>
  <si>
    <t>FSC700-615B/6</t>
  </si>
  <si>
    <t>FSC700-615C/6</t>
  </si>
  <si>
    <t>FSC700-615M/6</t>
  </si>
  <si>
    <t>FSC700-615MA/6</t>
  </si>
  <si>
    <t>FSC700-615MB/6</t>
  </si>
  <si>
    <t>FSC700-615MC/6</t>
  </si>
  <si>
    <t>FSC700-670/6</t>
  </si>
  <si>
    <t>FSC700-670A/6</t>
  </si>
  <si>
    <t>FSC700-670B/6</t>
  </si>
  <si>
    <t>FSC700-670C/6</t>
  </si>
  <si>
    <t>FSC700-670M/6</t>
  </si>
  <si>
    <t>FSC700-670MA/6</t>
  </si>
  <si>
    <t>FSC700-670MB/6</t>
  </si>
  <si>
    <t>FSC700-670MC/6</t>
  </si>
  <si>
    <t>FSC700-680/8</t>
  </si>
  <si>
    <t>FSC700-680A/8</t>
  </si>
  <si>
    <t>FSC700-680B/8</t>
  </si>
  <si>
    <t>FSC700-680M/8</t>
  </si>
  <si>
    <t>FSC700-680MA/8</t>
  </si>
  <si>
    <t>FSC700-680MB/8</t>
  </si>
  <si>
    <t>FSC700-775/8</t>
  </si>
  <si>
    <t>FSC700-775A/8</t>
  </si>
  <si>
    <t>FSC700-775B/8</t>
  </si>
  <si>
    <t>FSC700-775C/8</t>
  </si>
  <si>
    <t>FSC700-775M/8</t>
  </si>
  <si>
    <t>FSC700-775MA/8</t>
  </si>
  <si>
    <t>FSC700-775MB/8</t>
  </si>
  <si>
    <t>FSC700-775MC/8</t>
  </si>
  <si>
    <t>FSC700-830/8</t>
  </si>
  <si>
    <t>900x700</t>
  </si>
  <si>
    <t>FSC700-830A/8</t>
  </si>
  <si>
    <t>FSC700-830B/8</t>
  </si>
  <si>
    <t>FSC700-830C/8</t>
  </si>
  <si>
    <t>FSC700-830M/8</t>
  </si>
  <si>
    <t>FSC700-830MA/8</t>
  </si>
  <si>
    <t>FSC700-830MB/8</t>
  </si>
  <si>
    <t>FSC700-830MC/8</t>
  </si>
  <si>
    <t>FSC700-870/8</t>
  </si>
  <si>
    <t>FSC700-870A/8</t>
  </si>
  <si>
    <t>FSC700-870B/8</t>
  </si>
  <si>
    <t>FSC700-870C/8</t>
  </si>
  <si>
    <t>FSC700-870M/8</t>
  </si>
  <si>
    <t>FSC700-870MA/8</t>
  </si>
  <si>
    <t>FSC700-870MB/8</t>
  </si>
  <si>
    <t>FSC700-870MC/8</t>
  </si>
  <si>
    <t>FSC700-995/8</t>
  </si>
  <si>
    <t>FSC700-995A/8</t>
  </si>
  <si>
    <t>FSC700-995B/8</t>
  </si>
  <si>
    <t>FSC700-995C/8</t>
  </si>
  <si>
    <t>FSC700-995M/8</t>
  </si>
  <si>
    <t>FSC700-995MA/8</t>
  </si>
  <si>
    <t>FSC700-995MB/8</t>
  </si>
  <si>
    <t>FSC700-995MC/8</t>
  </si>
  <si>
    <t>FSC800-590/6</t>
  </si>
  <si>
    <t>800x800</t>
  </si>
  <si>
    <t>FSC800-590A/6</t>
  </si>
  <si>
    <t>FSC800-590B/6</t>
  </si>
  <si>
    <t>FSC800-590M/6</t>
  </si>
  <si>
    <t>FSC800-590MA/6</t>
  </si>
  <si>
    <t>FSC800-590MB/6</t>
  </si>
  <si>
    <t>FSC800-640/6</t>
  </si>
  <si>
    <t>FSC800-640A/6</t>
  </si>
  <si>
    <t>FSC800-640M/6</t>
  </si>
  <si>
    <t>FSC800-640MA/6</t>
  </si>
  <si>
    <t>FSC800-770/8</t>
  </si>
  <si>
    <t>900x800</t>
  </si>
  <si>
    <t>FSC800-770A/8</t>
  </si>
  <si>
    <t>FSC800-770B/8</t>
  </si>
  <si>
    <t>FSC800-770M/8</t>
  </si>
  <si>
    <t>FSC800-770MA/8</t>
  </si>
  <si>
    <t>FSC800-770MB/8</t>
  </si>
  <si>
    <t>FSC900-685/8</t>
  </si>
  <si>
    <t>900x900</t>
  </si>
  <si>
    <t>FSC900-685A/8</t>
  </si>
  <si>
    <t>FSC900-685B/8</t>
  </si>
  <si>
    <t>FSC900-685M/8</t>
  </si>
  <si>
    <t>FSC900-685MA/8</t>
  </si>
  <si>
    <t>FSC900-685MB/8</t>
  </si>
  <si>
    <t>Anti-corrosive coating cast iron HT250/QT500</t>
  </si>
  <si>
    <t>40Cr</t>
  </si>
  <si>
    <t>Flange+Coupling</t>
  </si>
  <si>
    <t>The price including one unit of counter flanges+Coupling</t>
  </si>
  <si>
    <t>Eagleburgmann</t>
  </si>
  <si>
    <t>SKF</t>
  </si>
  <si>
    <t>Optional</t>
  </si>
  <si>
    <t>FTD300-15/4</t>
  </si>
  <si>
    <t>FTD300-20/4</t>
  </si>
  <si>
    <t>FTD300-25/4</t>
  </si>
  <si>
    <t>FTD300-30/4</t>
  </si>
  <si>
    <t>FTD300-35/4</t>
  </si>
  <si>
    <t>FTD300-44/4</t>
  </si>
  <si>
    <t>FTD300-55/4</t>
  </si>
  <si>
    <t>USD  с НДС</t>
  </si>
  <si>
    <t>150WQ200-55-75/4</t>
  </si>
  <si>
    <t xml:space="preserve">Рабочее колесо </t>
  </si>
  <si>
    <t>Carbon-SiC-NBR</t>
  </si>
  <si>
    <t>Чугун с катафарезным покрытием</t>
  </si>
  <si>
    <t>65WQ15-8-0.75/2</t>
  </si>
  <si>
    <t>150WQ100-8-5.5/2</t>
  </si>
  <si>
    <t>150WQ100-12-7.5/2</t>
  </si>
  <si>
    <t>50WQ20-75-18.5/2</t>
  </si>
  <si>
    <t>65WQ30-65-18.5/2</t>
  </si>
  <si>
    <t>50WQ20-80-22/2</t>
  </si>
  <si>
    <t>80WQ60-12-5.5/4</t>
  </si>
  <si>
    <t>100WQ90-10-5.5/4</t>
  </si>
  <si>
    <t>150WQ140-7-5.5/4</t>
  </si>
  <si>
    <t>80WQ60-20-7.5/4</t>
  </si>
  <si>
    <t>200WQ220-6-7.5/4</t>
  </si>
  <si>
    <t>100WQ100-22-11/4</t>
  </si>
  <si>
    <t>250WQ450-5-15/4</t>
  </si>
  <si>
    <t>300WQ600-7-22/4</t>
  </si>
  <si>
    <t>100WQ100-45-30/4</t>
  </si>
  <si>
    <t>300WQ750-7-30/4</t>
  </si>
  <si>
    <t>300WQ700-9-37/4</t>
  </si>
  <si>
    <t>350WQ900-6-37/4</t>
  </si>
  <si>
    <t>350WQ1100-8-45/4</t>
  </si>
  <si>
    <t>350WQ1300-7-45/6</t>
  </si>
  <si>
    <t>350WQ1400-11-75/6</t>
  </si>
  <si>
    <t>200WQ300-55-90/4</t>
  </si>
  <si>
    <t>100WQ100-95-110/4</t>
  </si>
  <si>
    <t>150WQ180-70-110/4</t>
  </si>
  <si>
    <t>350WQ1500-16-110/6</t>
  </si>
  <si>
    <t>150WQ200-85-132/4</t>
  </si>
  <si>
    <t>350WQ1500-18-132/6</t>
  </si>
  <si>
    <t>150WQ200-100-160/4</t>
  </si>
  <si>
    <t>250WQ600-55-160/4</t>
  </si>
  <si>
    <t>350WQ1400-23-160/6</t>
  </si>
  <si>
    <t>350WQ1100-35-185/4</t>
  </si>
  <si>
    <t>250WQ750-60-200/4</t>
  </si>
  <si>
    <t>1-Ph/E</t>
  </si>
  <si>
    <t>3-Ph/Q</t>
  </si>
  <si>
    <t>MHI-202</t>
  </si>
  <si>
    <t>MHI-203</t>
  </si>
  <si>
    <t>MHI-402</t>
  </si>
  <si>
    <t>MHI-403</t>
  </si>
  <si>
    <t>MHI-404</t>
  </si>
  <si>
    <t>MHI-405</t>
  </si>
  <si>
    <t>MHI-406</t>
  </si>
  <si>
    <t>MHI-803</t>
  </si>
  <si>
    <t>MHI-804</t>
  </si>
  <si>
    <t>MHI-805</t>
  </si>
  <si>
    <t>MHI-1602</t>
  </si>
  <si>
    <t>50x40</t>
  </si>
  <si>
    <t>MHI-1603</t>
  </si>
  <si>
    <t>MHI-1604</t>
  </si>
  <si>
    <r>
      <t xml:space="preserve">MHI  </t>
    </r>
    <r>
      <rPr>
        <b/>
        <sz val="18"/>
        <color indexed="9"/>
        <rFont val="Tahoma"/>
        <family val="2"/>
        <charset val="134"/>
      </rPr>
      <t>SS304 horizontal multistage pump</t>
    </r>
  </si>
  <si>
    <r>
      <t xml:space="preserve">FBT  </t>
    </r>
    <r>
      <rPr>
        <b/>
        <sz val="18"/>
        <color indexed="9"/>
        <rFont val="Tahoma"/>
        <family val="2"/>
        <charset val="134"/>
      </rPr>
      <t>Three speed circulation pump</t>
    </r>
  </si>
  <si>
    <r>
      <t xml:space="preserve">Нержавеющая сталь AISI 304, версия материального исполнения из </t>
    </r>
    <r>
      <rPr>
        <sz val="11"/>
        <color indexed="10"/>
        <rFont val="Verdana"/>
        <family val="2"/>
        <charset val="204"/>
      </rPr>
      <t>AISI 316</t>
    </r>
    <r>
      <rPr>
        <sz val="11"/>
        <rFont val="Verdana"/>
        <family val="2"/>
      </rPr>
      <t xml:space="preserve"> доступна и определяется как цена CM</t>
    </r>
    <r>
      <rPr>
        <sz val="11"/>
        <color indexed="10"/>
        <rFont val="Verdana"/>
        <family val="2"/>
        <charset val="204"/>
      </rPr>
      <t xml:space="preserve">+35% </t>
    </r>
  </si>
  <si>
    <r>
      <t xml:space="preserve">Стандартная версия - чугун, для исполнения из </t>
    </r>
    <r>
      <rPr>
        <b/>
        <sz val="11"/>
        <color indexed="10"/>
        <rFont val="Verdana"/>
        <family val="2"/>
        <charset val="204"/>
      </rPr>
      <t>нержавеющей стали AISI 304 + 15%</t>
    </r>
    <r>
      <rPr>
        <sz val="11"/>
        <rFont val="Verdana"/>
        <family val="2"/>
      </rPr>
      <t xml:space="preserve"> к стоимости насоса.</t>
    </r>
  </si>
  <si>
    <r>
      <t xml:space="preserve">Класс защиты IP68. Стандартная версия - Класс изоляции обмоток статора F. </t>
    </r>
    <r>
      <rPr>
        <b/>
        <sz val="11"/>
        <color indexed="10"/>
        <rFont val="Verdana"/>
        <family val="2"/>
        <charset val="204"/>
      </rPr>
      <t>Класс изоляции H</t>
    </r>
    <r>
      <rPr>
        <sz val="11"/>
        <rFont val="Verdana"/>
        <family val="2"/>
      </rPr>
      <t xml:space="preserve"> +15% к цене насоса.</t>
    </r>
  </si>
  <si>
    <r>
      <t xml:space="preserve">Нержавеющая сталь AISI 304, версия материального исполнения из AISI 316 доступна для CDMF и определяется </t>
    </r>
    <r>
      <rPr>
        <sz val="11"/>
        <color indexed="10"/>
        <rFont val="Verdana"/>
        <family val="2"/>
        <charset val="204"/>
      </rPr>
      <t xml:space="preserve">как цена CDMF+35% </t>
    </r>
  </si>
  <si>
    <r>
      <t>Нержавеющая сталь AISI 304, версия материального исполнения из AISI 316 доступна для CDLF и определяется</t>
    </r>
    <r>
      <rPr>
        <sz val="11"/>
        <color indexed="10"/>
        <rFont val="Verdana"/>
        <family val="2"/>
        <charset val="204"/>
      </rPr>
      <t xml:space="preserve"> как цена CDLF+35% </t>
    </r>
  </si>
  <si>
    <t>WQ outlet elbow</t>
  </si>
  <si>
    <t>DN50</t>
  </si>
  <si>
    <t>DN65</t>
  </si>
  <si>
    <t>DN80</t>
  </si>
  <si>
    <t>DN100</t>
  </si>
  <si>
    <t>DN150</t>
  </si>
  <si>
    <t>DN200</t>
  </si>
  <si>
    <t>DN250</t>
  </si>
  <si>
    <t>DN300</t>
  </si>
  <si>
    <t>DN350</t>
  </si>
  <si>
    <t>Колено под гибкий шланг WQ-WQA-WQV-WQS-WQQG-WQAS</t>
  </si>
  <si>
    <t>Автоматическая трубная муфта WQ-WQA-WQV-WQS-WQQG-WQAS</t>
  </si>
  <si>
    <t>dB(A)</t>
  </si>
  <si>
    <t>A</t>
  </si>
  <si>
    <t>YE3-801-2-0.75kw</t>
  </si>
  <si>
    <t>B3 foot</t>
  </si>
  <si>
    <t>YE3-802-2-1.1kw</t>
  </si>
  <si>
    <t>YE3-90S-2-1.5kw</t>
  </si>
  <si>
    <t>YE3-90L-2-2.2kw</t>
  </si>
  <si>
    <t>YE3-100L-2-3kw</t>
  </si>
  <si>
    <t>YE3-112M-2-4kw</t>
  </si>
  <si>
    <t>YE3-132S1-2-5.5kw</t>
  </si>
  <si>
    <t>YE3-132S2-2-7.5kw</t>
  </si>
  <si>
    <t>YE3-160M1-2-11kw</t>
  </si>
  <si>
    <t>YE3-160M2-2-15kw</t>
  </si>
  <si>
    <t>YE3-160L-2-18.5kw</t>
  </si>
  <si>
    <t>YE3-180M-2-22kw</t>
  </si>
  <si>
    <t>YE3-200L1-2-30kw</t>
  </si>
  <si>
    <t>YE3-200L2-2-37kw</t>
  </si>
  <si>
    <t>YE3-225M-2-45kw</t>
  </si>
  <si>
    <t>YE3-250M-2-55kw</t>
  </si>
  <si>
    <t>YE3-280S-2-75kw</t>
  </si>
  <si>
    <t>YE3-280M-2-90kw</t>
  </si>
  <si>
    <t>YE3-315S-2-110kw</t>
  </si>
  <si>
    <t>YE3-315M-2-132kw</t>
  </si>
  <si>
    <t>YE3-315L1-2-160kw</t>
  </si>
  <si>
    <t>YE3-315L2-2-200kw</t>
  </si>
  <si>
    <t>YE3-355M-2-250kw</t>
  </si>
  <si>
    <t>YE3-355L-2-315kw</t>
  </si>
  <si>
    <t>YE3-801-4-0.55kw</t>
  </si>
  <si>
    <t>YE3-802-4-0.75kw</t>
  </si>
  <si>
    <t>YE3-90S-4-1.1kw</t>
  </si>
  <si>
    <t>YE3-90L-4-1.5kw</t>
  </si>
  <si>
    <t>YE3-100L1-4-2.2kw</t>
  </si>
  <si>
    <t>YE3-100L2-4-3kw</t>
  </si>
  <si>
    <t>YE3-112M-4-4kw</t>
  </si>
  <si>
    <t>YE3-132S-4-5.5kw</t>
  </si>
  <si>
    <t>YE3-132M-4-7.5kw</t>
  </si>
  <si>
    <t>YE3-160M-4-11kw</t>
  </si>
  <si>
    <t>YE3-160L-4-15kw</t>
  </si>
  <si>
    <t>YE3-180M-4-18.5kw</t>
  </si>
  <si>
    <t>YE3-180L-4-22kw</t>
  </si>
  <si>
    <t>YE3-200L-4-30kw</t>
  </si>
  <si>
    <t>YE3-225S-4-37kw</t>
  </si>
  <si>
    <t>YE3-225M-4-45kw</t>
  </si>
  <si>
    <t>YE3-250M-4-55kw</t>
  </si>
  <si>
    <t>YE3-280S-4-75kw</t>
  </si>
  <si>
    <t>YE3-280M-4-90kw</t>
  </si>
  <si>
    <t>YE3-315S-4-110kw</t>
  </si>
  <si>
    <t>YE3-315M-4-132kw</t>
  </si>
  <si>
    <t>YE3-315L1-4-160kw</t>
  </si>
  <si>
    <t>YE3-315L2-4-200kw</t>
  </si>
  <si>
    <t>YE3-355M-4-250kw</t>
  </si>
  <si>
    <t>YE3-355L-4-315kw</t>
  </si>
  <si>
    <t>Парамеры электродвигателей FANCY</t>
  </si>
  <si>
    <t>Мощность</t>
  </si>
  <si>
    <t>кВт</t>
  </si>
  <si>
    <t>л.с</t>
  </si>
  <si>
    <t>В</t>
  </si>
  <si>
    <t>Гц</t>
  </si>
  <si>
    <t>Ном. ток</t>
  </si>
  <si>
    <t>об/мин</t>
  </si>
  <si>
    <t>Исполнение</t>
  </si>
  <si>
    <t>Вес</t>
  </si>
  <si>
    <t>кг</t>
  </si>
  <si>
    <t>Объём</t>
  </si>
  <si>
    <t>м3</t>
  </si>
  <si>
    <t xml:space="preserve">Напряжение </t>
  </si>
  <si>
    <t>Модель</t>
  </si>
  <si>
    <t>Все насосы FANCY оснащены электродвигателями собственного производства.</t>
  </si>
  <si>
    <t>Price USD с НДС</t>
  </si>
  <si>
    <t>500WQ1800-8-55/6</t>
  </si>
  <si>
    <t>400WQ2000-15-132/6</t>
  </si>
  <si>
    <t>10000V motor available, price 6000V will change + 6%</t>
  </si>
  <si>
    <t xml:space="preserve">Стандартная версия 380В (трёхфазная)/Для 220 В (однофазная версия) необходимо + 7% к цене стандартной версии/ Для версии 60 Гц/460В необходимо +3% к цене стандартной версии. </t>
  </si>
  <si>
    <t xml:space="preserve">Датчики </t>
  </si>
  <si>
    <t xml:space="preserve">Все насосы мощностью менее 7,5 кВт оснащены датчиком термозащиты. Версия однофазных насосов с поплавковым выключателем досупна и определяется как цена однофазной версии + 14 USD </t>
  </si>
  <si>
    <t>QB60</t>
  </si>
  <si>
    <t>Brass</t>
  </si>
  <si>
    <t>QB70</t>
  </si>
  <si>
    <t>QB80</t>
  </si>
  <si>
    <t>Mechanical Seal,Ceramic/Carbon/SS304</t>
  </si>
  <si>
    <t>QB  Вихревой насос</t>
  </si>
  <si>
    <t>до 22 кВт</t>
  </si>
  <si>
    <t>от 30 до 45 кВт</t>
  </si>
  <si>
    <t>от 55 до 90 кВт</t>
  </si>
  <si>
    <t>Снят с производства</t>
  </si>
  <si>
    <t>WQK50/1.5</t>
  </si>
  <si>
    <t>WQK50/2.2</t>
  </si>
  <si>
    <t>WQK50/3</t>
  </si>
  <si>
    <t>WQK50/4</t>
  </si>
  <si>
    <t>WQK65/1.5</t>
  </si>
  <si>
    <t>WQK65/2.2</t>
  </si>
  <si>
    <t>WQK65/3</t>
  </si>
  <si>
    <t>WQK65/4</t>
  </si>
  <si>
    <t>WQK80/1.5</t>
  </si>
  <si>
    <t>WQK80/2.2</t>
  </si>
  <si>
    <t>WQK80/3</t>
  </si>
  <si>
    <t>WQK80/4</t>
  </si>
  <si>
    <t>WQK80/5.5</t>
  </si>
  <si>
    <t>WQK80/7.5</t>
  </si>
  <si>
    <t>WQK100/3</t>
  </si>
  <si>
    <t>WQK100/4</t>
  </si>
  <si>
    <t>WQK100/5.5</t>
  </si>
  <si>
    <t>WQK100/7.5</t>
  </si>
  <si>
    <t>WQK150/5.5</t>
  </si>
  <si>
    <t>WQK150/7.5</t>
  </si>
  <si>
    <t>Класс изоляции F, степень защиты IP 68</t>
  </si>
  <si>
    <t>Механическое уплотнение, SiC/SiC/SS304</t>
  </si>
  <si>
    <t xml:space="preserve">Подшипники высокого качества </t>
  </si>
  <si>
    <t>WQK-cерия.  Насосы с открытым рабочим колесом типа VORTEX (вихревое).</t>
  </si>
  <si>
    <t>Подшипники</t>
  </si>
  <si>
    <t>Двигатель</t>
  </si>
  <si>
    <t>л.с.</t>
  </si>
  <si>
    <r>
      <rPr>
        <sz val="10"/>
        <rFont val="Verdana"/>
        <family val="2"/>
      </rPr>
      <t>м³</t>
    </r>
    <r>
      <rPr>
        <sz val="11"/>
        <rFont val="Verdana"/>
        <family val="2"/>
      </rPr>
      <t>/ч</t>
    </r>
  </si>
  <si>
    <t>м</t>
  </si>
  <si>
    <t>мм</t>
  </si>
  <si>
    <t>Колесо</t>
  </si>
  <si>
    <t>Параметры</t>
  </si>
  <si>
    <t>Розничная цена с НДС</t>
  </si>
  <si>
    <t>USD＄</t>
  </si>
  <si>
    <t>1-фаза</t>
  </si>
  <si>
    <t>3-фазы</t>
  </si>
  <si>
    <t>H ном</t>
  </si>
  <si>
    <t>Q ном</t>
  </si>
  <si>
    <t>H макс</t>
  </si>
  <si>
    <t>Диаметр напорного патрубка</t>
  </si>
  <si>
    <t>Прохождение твёрдых частиц во взвешенном состоянии до 50 мм.</t>
  </si>
  <si>
    <t>WQH40/0.9</t>
  </si>
  <si>
    <t>WQH40/1.2</t>
  </si>
  <si>
    <t>WQH40/1.5</t>
  </si>
  <si>
    <t>WQH40/2.6</t>
  </si>
  <si>
    <t>WQH40/3.1</t>
  </si>
  <si>
    <t>WQH40/4</t>
  </si>
  <si>
    <t>Чугун QT500</t>
  </si>
  <si>
    <t>Нержавеющая сталь AISI 420</t>
  </si>
  <si>
    <t>WQH  Погружной насос с измельчителем для тяжёлого режима эксплуатации</t>
  </si>
  <si>
    <t>WQV50/0.75</t>
  </si>
  <si>
    <t>3Cr13</t>
  </si>
  <si>
    <t>WQV50/1.1</t>
  </si>
  <si>
    <t>WQV50/1.5</t>
  </si>
  <si>
    <t>WQV50/2.2</t>
  </si>
  <si>
    <t>WQV50/3</t>
  </si>
  <si>
    <t>WQV50/4</t>
  </si>
  <si>
    <t>WQV50/5.5</t>
  </si>
  <si>
    <t>WQV50/7.5</t>
  </si>
  <si>
    <t>WQV50/9.2</t>
  </si>
  <si>
    <t>WQV50/11</t>
  </si>
  <si>
    <t>WQV50/15</t>
  </si>
  <si>
    <t>WQV65/1.5</t>
  </si>
  <si>
    <t>WQV65/2.2</t>
  </si>
  <si>
    <t>WQV65/3</t>
  </si>
  <si>
    <t>WQV65/4</t>
  </si>
  <si>
    <t>WQV65/5.5</t>
  </si>
  <si>
    <t>WQV65/7.5</t>
  </si>
  <si>
    <t>WQV80/2.2</t>
  </si>
  <si>
    <t>WQV80/3</t>
  </si>
  <si>
    <t>WQV80/4</t>
  </si>
  <si>
    <t>WQV80/5.5</t>
  </si>
  <si>
    <t>WQV80/7.5</t>
  </si>
  <si>
    <t>WQV80/11</t>
  </si>
  <si>
    <t>WQV80/15</t>
  </si>
  <si>
    <t>WQV80/18.5</t>
  </si>
  <si>
    <t>WQV80/22</t>
  </si>
  <si>
    <t>WQV100/3</t>
  </si>
  <si>
    <t>WQV100/4</t>
  </si>
  <si>
    <t>WQV100/5.5</t>
  </si>
  <si>
    <t>WQV100/7.5</t>
  </si>
  <si>
    <t>WQV100/11</t>
  </si>
  <si>
    <t>WQV100/15</t>
  </si>
  <si>
    <t>WQV100/18.5</t>
  </si>
  <si>
    <t>WQV100/22</t>
  </si>
  <si>
    <t>WQV150/7.5</t>
  </si>
  <si>
    <t>WQV150/11</t>
  </si>
  <si>
    <t>WQV150/15</t>
  </si>
  <si>
    <t>WQV150/18.5</t>
  </si>
  <si>
    <t>WQV150/22</t>
  </si>
  <si>
    <t>WQV200/11</t>
  </si>
  <si>
    <t>WQV200/15</t>
  </si>
  <si>
    <t>WQV200/18.5</t>
  </si>
  <si>
    <t>WQV200/22</t>
  </si>
  <si>
    <t>WQV4-80/11</t>
  </si>
  <si>
    <t>WQV4-80/15</t>
  </si>
  <si>
    <t>WQV4-100/11</t>
  </si>
  <si>
    <t>WQV4-100/15</t>
  </si>
  <si>
    <t>WQV4-100/18.5</t>
  </si>
  <si>
    <t>WQV4-100/22</t>
  </si>
  <si>
    <t>WQV4-150/11</t>
  </si>
  <si>
    <t>WQV4-150/15</t>
  </si>
  <si>
    <t>WQV4-150/18.5</t>
  </si>
  <si>
    <t>WQV4-150/22</t>
  </si>
  <si>
    <t>WQV4-150/30</t>
  </si>
  <si>
    <t>WQV4-150/37</t>
  </si>
  <si>
    <t>WQV4-150/45</t>
  </si>
  <si>
    <t>WQV4-200/18.5</t>
  </si>
  <si>
    <t>WQV4-200/22</t>
  </si>
  <si>
    <t>WQV4-200/30</t>
  </si>
  <si>
    <t>WQV4-200/37</t>
  </si>
  <si>
    <t>WQV4-200/45</t>
  </si>
  <si>
    <t>WQV4-200/55</t>
  </si>
  <si>
    <t>WQV4-200/75</t>
  </si>
  <si>
    <t>WQV4-200/90</t>
  </si>
  <si>
    <t>WQV4-250/30</t>
  </si>
  <si>
    <t>WQV4-250/37</t>
  </si>
  <si>
    <t>WQV4-250/45</t>
  </si>
  <si>
    <t>WQV4-250/55</t>
  </si>
  <si>
    <t>WQV4-250/75</t>
  </si>
  <si>
    <t>WQV4-250/90</t>
  </si>
  <si>
    <t>WQV4-300/30</t>
  </si>
  <si>
    <t>WQV4-300/37</t>
  </si>
  <si>
    <t>WQV4-300/45</t>
  </si>
  <si>
    <t>WQV4-300/55</t>
  </si>
  <si>
    <t>WQV4-300/75</t>
  </si>
  <si>
    <t>WQV4-300/90</t>
  </si>
  <si>
    <t>WQV  Погружные насосы с режущим элементом</t>
  </si>
  <si>
    <t xml:space="preserve"> Старое название</t>
  </si>
  <si>
    <t>Новое название</t>
  </si>
  <si>
    <t>Парамеры</t>
  </si>
  <si>
    <t>FVL2-2</t>
  </si>
  <si>
    <t>FVL2-3</t>
  </si>
  <si>
    <t>FVL2-4</t>
  </si>
  <si>
    <t>FVL2-5</t>
  </si>
  <si>
    <t>FVL2-6</t>
  </si>
  <si>
    <t>FVL2-7</t>
  </si>
  <si>
    <t>FVL2-8</t>
  </si>
  <si>
    <t>FVL4-2</t>
  </si>
  <si>
    <t>FVL4-3</t>
  </si>
  <si>
    <t>FVL4-4</t>
  </si>
  <si>
    <t>FVL4-5</t>
  </si>
  <si>
    <t>FVL4-6</t>
  </si>
  <si>
    <t>FVL4-7</t>
  </si>
  <si>
    <t>FVL4-8</t>
  </si>
  <si>
    <t>FVL6-2</t>
  </si>
  <si>
    <t>FVL6-3</t>
  </si>
  <si>
    <t>FVL6-4</t>
  </si>
  <si>
    <t>FVL6-5</t>
  </si>
  <si>
    <t>FVL6-6</t>
  </si>
  <si>
    <t>FVL6-7</t>
  </si>
  <si>
    <t>FVL6-8</t>
  </si>
  <si>
    <t>FVL8-2</t>
  </si>
  <si>
    <t>FVL8-3</t>
  </si>
  <si>
    <t>FVL8-4</t>
  </si>
  <si>
    <t>FVL8-5</t>
  </si>
  <si>
    <t>FVL8-6</t>
  </si>
  <si>
    <t>FVL8-7</t>
  </si>
  <si>
    <t>FVL8-8</t>
  </si>
  <si>
    <t>FVL10-2</t>
  </si>
  <si>
    <t>FVL10-3</t>
  </si>
  <si>
    <t>FVL10-4</t>
  </si>
  <si>
    <t>FVL10-5</t>
  </si>
  <si>
    <t>FVL10-6</t>
  </si>
  <si>
    <t>FVL10-7</t>
  </si>
  <si>
    <t>FVL10-8</t>
  </si>
  <si>
    <t>FVL12-2</t>
  </si>
  <si>
    <t>FVL12-3</t>
  </si>
  <si>
    <t>FVL12-4</t>
  </si>
  <si>
    <t>FVL12-5</t>
  </si>
  <si>
    <t>FVL12-6</t>
  </si>
  <si>
    <t>FVL12-7</t>
  </si>
  <si>
    <t>FVL12-8</t>
  </si>
  <si>
    <t>FVC2-6</t>
  </si>
  <si>
    <t>FVC2-7</t>
  </si>
  <si>
    <t>FVC2-8</t>
  </si>
  <si>
    <t>FVC2-9</t>
  </si>
  <si>
    <t>FVC2-10</t>
  </si>
  <si>
    <t>FVC2-11</t>
  </si>
  <si>
    <t>FVC2-12</t>
  </si>
  <si>
    <t>FVC4-5</t>
  </si>
  <si>
    <t>FVC4-6</t>
  </si>
  <si>
    <t>FVC4-7</t>
  </si>
  <si>
    <t>FVC4-8</t>
  </si>
  <si>
    <t>FVC4-9</t>
  </si>
  <si>
    <t>FVC4-10</t>
  </si>
  <si>
    <t>FVC4-11</t>
  </si>
  <si>
    <t>FVC4-12</t>
  </si>
  <si>
    <t>FVC6-5</t>
  </si>
  <si>
    <t>FVC6-6</t>
  </si>
  <si>
    <t>FVC6-7</t>
  </si>
  <si>
    <t>FVC6-8</t>
  </si>
  <si>
    <t>FVC6-9</t>
  </si>
  <si>
    <t>FVC6-10</t>
  </si>
  <si>
    <t>FVC6-11</t>
  </si>
  <si>
    <t>FVC6-12</t>
  </si>
  <si>
    <t>FVC8-4</t>
  </si>
  <si>
    <t>FVC8-5</t>
  </si>
  <si>
    <t>FVC8-6</t>
  </si>
  <si>
    <t>FVC8-7</t>
  </si>
  <si>
    <t>FVC8-8</t>
  </si>
  <si>
    <t>FVC8-9</t>
  </si>
  <si>
    <t>FVC8-10</t>
  </si>
  <si>
    <t>FVC8-11</t>
  </si>
  <si>
    <t>FVC8-12</t>
  </si>
  <si>
    <t>FVC10-3</t>
  </si>
  <si>
    <t>FVC10-4</t>
  </si>
  <si>
    <t>FVC10-5</t>
  </si>
  <si>
    <t>FVC10-6</t>
  </si>
  <si>
    <t>FVC10-7</t>
  </si>
  <si>
    <t>FVC10-8</t>
  </si>
  <si>
    <t>FVC10-9</t>
  </si>
  <si>
    <t>FVC10-10</t>
  </si>
  <si>
    <t>FVC10-11</t>
  </si>
  <si>
    <t>FVC10-12</t>
  </si>
  <si>
    <t>FVC12-3</t>
  </si>
  <si>
    <t>FVC12-4</t>
  </si>
  <si>
    <t>FVC12-5</t>
  </si>
  <si>
    <t>FVC12-6</t>
  </si>
  <si>
    <t>FVC12-7</t>
  </si>
  <si>
    <t>FVC12-8</t>
  </si>
  <si>
    <t>FVC12-9</t>
  </si>
  <si>
    <t>FVC12-10</t>
  </si>
  <si>
    <t>FVC12-11</t>
  </si>
  <si>
    <t>FVC12-12</t>
  </si>
  <si>
    <r>
      <t>FVL</t>
    </r>
    <r>
      <rPr>
        <b/>
        <sz val="20"/>
        <color indexed="9"/>
        <rFont val="Tahoma"/>
        <family val="2"/>
        <charset val="134"/>
      </rPr>
      <t xml:space="preserve">  Многоступенчатый насос </t>
    </r>
    <r>
      <rPr>
        <b/>
        <sz val="18"/>
        <color indexed="9"/>
        <rFont val="Tahoma"/>
        <family val="2"/>
        <charset val="134"/>
      </rPr>
      <t>(один вал)</t>
    </r>
  </si>
  <si>
    <r>
      <t>FVC</t>
    </r>
    <r>
      <rPr>
        <b/>
        <sz val="20"/>
        <color indexed="9"/>
        <rFont val="Tahoma"/>
        <family val="2"/>
        <charset val="134"/>
      </rPr>
      <t xml:space="preserve">  Многоступенчатый насос с соединением через муфту</t>
    </r>
    <r>
      <rPr>
        <b/>
        <sz val="18"/>
        <color indexed="9"/>
        <rFont val="Tahoma"/>
        <family val="2"/>
        <charset val="134"/>
      </rPr>
      <t xml:space="preserve"> (2 вала)</t>
    </r>
  </si>
  <si>
    <t>Катафарезное покрытие, чугун</t>
  </si>
  <si>
    <t xml:space="preserve">Механическое уплотнение,Carbon-SiC-NBR </t>
  </si>
  <si>
    <t>Патрубки</t>
  </si>
  <si>
    <t>Всасывающий и напорный патрубки с резьбой G20</t>
  </si>
  <si>
    <t>FBT32-6F-220</t>
  </si>
  <si>
    <t>FBT32-9F-220</t>
  </si>
  <si>
    <t>FBT40-6F-250</t>
  </si>
  <si>
    <t>FBT40-9F-250</t>
  </si>
  <si>
    <t>FBT40-13F-250</t>
  </si>
  <si>
    <t>FBT40-18F-250</t>
  </si>
  <si>
    <t>FBT50-6F-280</t>
  </si>
  <si>
    <t>FBT50-9F-280</t>
  </si>
  <si>
    <t>FBT50-13F-280</t>
  </si>
  <si>
    <t>FBT50-18F-280</t>
  </si>
  <si>
    <t>FBT65-6F-340</t>
  </si>
  <si>
    <t>FBT65-9F-340</t>
  </si>
  <si>
    <t>FBT65-13F-340</t>
  </si>
  <si>
    <t>FBT65-18F-340</t>
  </si>
  <si>
    <t>FBT80-6/4F-360</t>
  </si>
  <si>
    <t>FBT80-9F-360</t>
  </si>
  <si>
    <t>FBT80-12F</t>
  </si>
  <si>
    <t>Блок контроля протечек для датчиков WQ</t>
  </si>
  <si>
    <t>Блок контроля протечек PRO для датчиков WQ</t>
  </si>
  <si>
    <t>датчик протечки в статоре, масляной камере, в клеммной коробке + термодатчики</t>
  </si>
  <si>
    <t>датчик протечки в статоре, масляной камере, в клеммной коробке + термодатчики + PT100 (2 линии)</t>
  </si>
  <si>
    <t>FZ 100-160/185</t>
  </si>
  <si>
    <t>FZ 100-160/220</t>
  </si>
  <si>
    <t>FZ 100-160/300</t>
  </si>
  <si>
    <t>FZ 100-200/370</t>
  </si>
  <si>
    <t>FZ 100-200/450</t>
  </si>
  <si>
    <t>FZ 100-200/550</t>
  </si>
  <si>
    <t>FZ 125-200/450</t>
  </si>
  <si>
    <t>FZ 125-200/550</t>
  </si>
  <si>
    <t>FZ 125-200/750</t>
  </si>
  <si>
    <t>FZ 125-200/900</t>
  </si>
  <si>
    <t>FZ 100-160/185(316)</t>
  </si>
  <si>
    <t>FZ 100-160/220(316)</t>
  </si>
  <si>
    <t>FZ 100-160/300(316)</t>
  </si>
  <si>
    <t>FZ 100-200/370(316)</t>
  </si>
  <si>
    <t>FZ 100-200/450(316)</t>
  </si>
  <si>
    <t>FZ 100-200/550(316)</t>
  </si>
  <si>
    <t>FZ 125-200/450(316)</t>
  </si>
  <si>
    <t>FZ 125-200/550(316)</t>
  </si>
  <si>
    <t>FZ 125-200/750(316)</t>
  </si>
  <si>
    <t>FZ 125-200/900(316)</t>
  </si>
  <si>
    <t>по запросу</t>
  </si>
  <si>
    <t>Временно не производится</t>
  </si>
  <si>
    <t>214.20 USD с НДС</t>
  </si>
  <si>
    <t>285,60 USD с НДС</t>
  </si>
  <si>
    <t>357 USD с НДС</t>
  </si>
  <si>
    <t>105,57 USD с НДС</t>
  </si>
  <si>
    <t>240,06 USD с НДС</t>
  </si>
  <si>
    <t xml:space="preserve">Нержавеющая сталь AISI 304, версия материального исполнения из AISI 316 доступна и определяется как цена AISI 304 +30% </t>
  </si>
  <si>
    <r>
      <t>Стандартная версия - чугун, для исполнения</t>
    </r>
    <r>
      <rPr>
        <sz val="11"/>
        <color indexed="10"/>
        <rFont val="Verdana"/>
        <family val="2"/>
        <charset val="204"/>
      </rPr>
      <t xml:space="preserve"> из нержавеющей стали AISI 304 + 20%, AISI 316 + 30% </t>
    </r>
    <r>
      <rPr>
        <sz val="11"/>
        <rFont val="Verdana"/>
        <family val="2"/>
      </rPr>
      <t>к стоимости насоса.</t>
    </r>
  </si>
  <si>
    <t>Все насосы мощностью менее 7,5 кВт оснащены датчиком термозащиты. Версия однофазных насосов WQ с поплавковым выключателем досупна и определяется как цена однофазной версии + 14 USD (насосы из нержавеющей стали WQS не поставляются с поплавком)</t>
  </si>
  <si>
    <r>
      <t>Чугун, для SS 304 небходимо увеличить прайс</t>
    </r>
    <r>
      <rPr>
        <b/>
        <sz val="11"/>
        <color indexed="10"/>
        <rFont val="Verdana"/>
        <family val="2"/>
        <charset val="204"/>
      </rPr>
      <t xml:space="preserve"> на 8%</t>
    </r>
  </si>
  <si>
    <r>
      <t xml:space="preserve">Датчик температуры и вибрации в каждый подшипник насосной части (2 шт)  </t>
    </r>
    <r>
      <rPr>
        <b/>
        <sz val="11"/>
        <rFont val="Verdana"/>
        <family val="2"/>
        <charset val="204"/>
      </rPr>
      <t xml:space="preserve"> </t>
    </r>
    <r>
      <rPr>
        <b/>
        <sz val="11"/>
        <color indexed="10"/>
        <rFont val="Verdana"/>
        <family val="2"/>
        <charset val="204"/>
      </rPr>
      <t>+ 5 250 USD  c НДС</t>
    </r>
    <r>
      <rPr>
        <sz val="11"/>
        <rFont val="Verdana"/>
        <family val="2"/>
      </rPr>
      <t xml:space="preserve"> к цене насоса.</t>
    </r>
  </si>
  <si>
    <t>Чугун c катафарезным покрытием</t>
  </si>
  <si>
    <t>Рабочее колесо и перемешивающий механизм</t>
  </si>
  <si>
    <t>Хромистый сплав</t>
  </si>
  <si>
    <t>Нержавеющая сталь 420</t>
  </si>
  <si>
    <t>CDM 95-1-1</t>
  </si>
  <si>
    <t>CDM 95-1</t>
  </si>
  <si>
    <t>CDM 95-2-2</t>
  </si>
  <si>
    <t>CDM 95-2</t>
  </si>
  <si>
    <t>CDM 95-3-2</t>
  </si>
  <si>
    <t>CDM 95-3</t>
  </si>
  <si>
    <t>CDM 95-4</t>
  </si>
  <si>
    <t>CDM 95-5</t>
  </si>
  <si>
    <t>CDM 95-6</t>
  </si>
  <si>
    <t>CDM 95-7</t>
  </si>
  <si>
    <t>CDM 95-8-2</t>
  </si>
  <si>
    <t>CDM 125-1</t>
  </si>
  <si>
    <t>CDM 125-2-2</t>
  </si>
  <si>
    <t>CDM 125-2-1</t>
  </si>
  <si>
    <t>CDM 125-2</t>
  </si>
  <si>
    <t>CDM 125-3-1</t>
  </si>
  <si>
    <t>CDM 125-3</t>
  </si>
  <si>
    <t>CDM 125-4-2</t>
  </si>
  <si>
    <t>CDM 125-4</t>
  </si>
  <si>
    <t>CDM 125-5</t>
  </si>
  <si>
    <t>CDM 125-6</t>
  </si>
  <si>
    <t>CDM 125-7</t>
  </si>
  <si>
    <t>CDM 125-8</t>
  </si>
  <si>
    <t>CDM 125-9-2</t>
  </si>
  <si>
    <t>CDM 125-9</t>
  </si>
  <si>
    <t>CDM 125-10</t>
  </si>
  <si>
    <t>CDM 155-1-1</t>
  </si>
  <si>
    <t>CDM 155-1</t>
  </si>
  <si>
    <t>CDM 155-2-2</t>
  </si>
  <si>
    <t>CDM 155-2</t>
  </si>
  <si>
    <t>CDM 155-3-2</t>
  </si>
  <si>
    <t>CDM 155-3</t>
  </si>
  <si>
    <t>CDM 155-4-1</t>
  </si>
  <si>
    <t>CDM 155-5-2</t>
  </si>
  <si>
    <t>CDM 155-5</t>
  </si>
  <si>
    <t>CDM 155-6</t>
  </si>
  <si>
    <t>CDM 155-7</t>
  </si>
  <si>
    <t>CDM 155-8-2</t>
  </si>
  <si>
    <t>CDM 185-1-1</t>
  </si>
  <si>
    <t>CDM 185-1</t>
  </si>
  <si>
    <t>CDM 185-2-2</t>
  </si>
  <si>
    <t>CDM 185-2</t>
  </si>
  <si>
    <t>CDM 185-3-3</t>
  </si>
  <si>
    <t>CDM 185-3</t>
  </si>
  <si>
    <t>CDM 185-4-3</t>
  </si>
  <si>
    <t>CDM 185-4</t>
  </si>
  <si>
    <t>CDM 185-5-3</t>
  </si>
  <si>
    <t>CDM 185-5</t>
  </si>
  <si>
    <t>CDM 185-6-3</t>
  </si>
  <si>
    <t>CDM 185-6</t>
  </si>
  <si>
    <t>CDM 185-7-3</t>
  </si>
  <si>
    <t>CDM 185-7</t>
  </si>
  <si>
    <t>CDM 185-8-3</t>
  </si>
  <si>
    <t>CDM 185-8</t>
  </si>
  <si>
    <t>CDM 215-1-1</t>
  </si>
  <si>
    <t>CDM 215-1</t>
  </si>
  <si>
    <t>CDM 215-2-2</t>
  </si>
  <si>
    <t>CDM 215-2-1</t>
  </si>
  <si>
    <t>CDM 215-2</t>
  </si>
  <si>
    <t>CDM 215-3-2</t>
  </si>
  <si>
    <t>CDM 215-3</t>
  </si>
  <si>
    <t>CDM 215-4-2</t>
  </si>
  <si>
    <t>CDM 215-4</t>
  </si>
  <si>
    <t>CDM 215-5-2</t>
  </si>
  <si>
    <t>CDM 215-5</t>
  </si>
  <si>
    <t>CDM 215-6-3</t>
  </si>
  <si>
    <t>CDM 215-6</t>
  </si>
  <si>
    <t>CDM 215-7-2</t>
  </si>
  <si>
    <t>CDM 255-1-1</t>
  </si>
  <si>
    <t>CDM 255-1</t>
  </si>
  <si>
    <t>CDM 255-2-2</t>
  </si>
  <si>
    <t>CDM 255-2</t>
  </si>
  <si>
    <t>CDM 255-3-2</t>
  </si>
  <si>
    <t>CDM 255-3</t>
  </si>
  <si>
    <t>CDM 255-4-2</t>
  </si>
  <si>
    <t>CDM 255-4</t>
  </si>
  <si>
    <t>CDM 255-5-3</t>
  </si>
  <si>
    <t>CDM 255-5</t>
  </si>
  <si>
    <t>CDM 255-6-2</t>
  </si>
  <si>
    <t>CDM 285-1-1</t>
  </si>
  <si>
    <t>CDM 285-1</t>
  </si>
  <si>
    <t>CDM 285-2-2</t>
  </si>
  <si>
    <t>CDM 285-2-1</t>
  </si>
  <si>
    <t>CDM 285-2</t>
  </si>
  <si>
    <t>CDM 285-3-2</t>
  </si>
  <si>
    <t>CDM 285-3</t>
  </si>
  <si>
    <t>CDM 285-4-2</t>
  </si>
  <si>
    <t>CDM 285-4-1</t>
  </si>
  <si>
    <t>CDM 285-4</t>
  </si>
  <si>
    <t>CDM 285-5-2</t>
  </si>
  <si>
    <t>CDM 285-5-1</t>
  </si>
  <si>
    <t>CDM 285-5</t>
  </si>
  <si>
    <t>CDM 285-6-3</t>
  </si>
  <si>
    <t>CDM 285-6</t>
  </si>
  <si>
    <t>CDM 285-7-3</t>
  </si>
  <si>
    <t>CDM 315-1-1</t>
  </si>
  <si>
    <t>CDM 315-1</t>
  </si>
  <si>
    <t>CDM 315-2-2</t>
  </si>
  <si>
    <t>CDM 315-2-1</t>
  </si>
  <si>
    <t>CDM 315-2</t>
  </si>
  <si>
    <t>CDM 315-3-3</t>
  </si>
  <si>
    <t>CDM 315-3-1</t>
  </si>
  <si>
    <t>CDM 315-3</t>
  </si>
  <si>
    <t>CDM 315-4-2</t>
  </si>
  <si>
    <t>CDM 315-4</t>
  </si>
  <si>
    <t>CDM 315-5-1</t>
  </si>
  <si>
    <t>CDM 315-5</t>
  </si>
  <si>
    <t>CDM 315-6-2</t>
  </si>
  <si>
    <t>CDM 315-6</t>
  </si>
  <si>
    <t>CDM 315-7-1</t>
  </si>
  <si>
    <t>CDM 355-1</t>
  </si>
  <si>
    <t>CDM 355-2-2</t>
  </si>
  <si>
    <t>CDM 355-2</t>
  </si>
  <si>
    <t>CDM 355-3-3</t>
  </si>
  <si>
    <t>CDM 355-3</t>
  </si>
  <si>
    <t>CDM 355-4-3</t>
  </si>
  <si>
    <t>CDM 355-4</t>
  </si>
  <si>
    <t>CDM 355-5-2</t>
  </si>
  <si>
    <t>CDM 355-5</t>
  </si>
  <si>
    <t>CDM 355-6-1</t>
  </si>
  <si>
    <t>CDM 395-1-1</t>
  </si>
  <si>
    <t>CDM 395-1</t>
  </si>
  <si>
    <t>CDM 395-2-2</t>
  </si>
  <si>
    <t>CDM 395-2-1</t>
  </si>
  <si>
    <t>CDM 395-2</t>
  </si>
  <si>
    <t>CDM 395-3-3</t>
  </si>
  <si>
    <t>CDM 395-3-1</t>
  </si>
  <si>
    <t>CDM 395-3</t>
  </si>
  <si>
    <t>CDM 395-4-2</t>
  </si>
  <si>
    <t>CDM 395-4</t>
  </si>
  <si>
    <t>CDM 395-5-3</t>
  </si>
  <si>
    <t>CDM 395-5</t>
  </si>
  <si>
    <t>WQC-V</t>
  </si>
  <si>
    <t>WQC-H</t>
  </si>
  <si>
    <t>80WQC80-45-18.5/2</t>
  </si>
  <si>
    <t>80WQC50-65-22/2</t>
  </si>
  <si>
    <t>80WQC80-53-22/2</t>
  </si>
  <si>
    <t>100WQC80-25-11/4</t>
  </si>
  <si>
    <t>100WQC100-34-22/4</t>
  </si>
  <si>
    <t>100WQC80-65-30/2</t>
  </si>
  <si>
    <t>100WQC180-42-37/2</t>
  </si>
  <si>
    <t>150WQC150-15-11/4</t>
  </si>
  <si>
    <t>150WQC150-21-15/4</t>
  </si>
  <si>
    <t>150WQC130-30-22/4</t>
  </si>
  <si>
    <t>150WQC250-22-30/4</t>
  </si>
  <si>
    <t>150WQC240-42-45/4</t>
  </si>
  <si>
    <t>150WQC250-50-55/4</t>
  </si>
  <si>
    <t>150WQC280-56-75/4</t>
  </si>
  <si>
    <t>150WQC300-60-90/4</t>
  </si>
  <si>
    <t>200WQC400-12-22/4</t>
  </si>
  <si>
    <t>200WQC240-12-11/4</t>
  </si>
  <si>
    <t>200WQC300-13-15/4</t>
  </si>
  <si>
    <t>200WQC340-16-22/4</t>
  </si>
  <si>
    <t>200WQC340-22-30/4</t>
  </si>
  <si>
    <t>200WQC400-24-37/4</t>
  </si>
  <si>
    <t>200WQC400-28-45/4</t>
  </si>
  <si>
    <t>200WQC400-34-55/4</t>
  </si>
  <si>
    <t>200WQC550-32-75/4</t>
  </si>
  <si>
    <t>200WQC600-36-90/4</t>
  </si>
  <si>
    <t>200WQC480-50-110/4</t>
  </si>
  <si>
    <t>200WQC500-55-132/4</t>
  </si>
  <si>
    <t>200WQC500-64-160/4</t>
  </si>
  <si>
    <t>250WQC380-7-11/4</t>
  </si>
  <si>
    <t>250WQC400-10-15/4</t>
  </si>
  <si>
    <t>250WQC480-12-22/4</t>
  </si>
  <si>
    <t>250WQC600-12-30/4</t>
  </si>
  <si>
    <t>250WQC600-15-37/4</t>
  </si>
  <si>
    <t>250WQC600-18-45/4</t>
  </si>
  <si>
    <t>250WQC600-24-55/4</t>
  </si>
  <si>
    <t>250WQC500-13-30/6</t>
  </si>
  <si>
    <t>250WQC600-14-37/6</t>
  </si>
  <si>
    <t>250WQC650-16-45/6</t>
  </si>
  <si>
    <t>250WQC700-20-55/6</t>
  </si>
  <si>
    <t>250WQC700-27-75/4</t>
  </si>
  <si>
    <t>250WQC750-30-90/4</t>
  </si>
  <si>
    <t>250WQC600-40-110/6</t>
  </si>
  <si>
    <t>250WQC650-40-110/4</t>
  </si>
  <si>
    <t>250WQC800-40-132/4</t>
  </si>
  <si>
    <t>250WQC800-50-160/4</t>
  </si>
  <si>
    <t>300WQC600-6-15/6</t>
  </si>
  <si>
    <t>300WQC600-8-18.5/6</t>
  </si>
  <si>
    <t>300WQC700-8-22/6</t>
  </si>
  <si>
    <t>300WQC800-9-30/6</t>
  </si>
  <si>
    <t>300WQC800-10-37/6</t>
  </si>
  <si>
    <t>300WQC900-12-45/6</t>
  </si>
  <si>
    <t>300WQC900-16-55/6</t>
  </si>
  <si>
    <t>300WQC800-22-75/6</t>
  </si>
  <si>
    <t>300WQC900-24-90/6</t>
  </si>
  <si>
    <t>300WQC1000-27-110/6</t>
  </si>
  <si>
    <t>300WQC900-35-132/6</t>
  </si>
  <si>
    <t>300WQC900-20-75/4</t>
  </si>
  <si>
    <t>300WQC900-24-90/4</t>
  </si>
  <si>
    <t>300WQC1000-25-110/4</t>
  </si>
  <si>
    <t>300WQC1000-30-132/4</t>
  </si>
  <si>
    <t>300WQC1100-36-160/4</t>
  </si>
  <si>
    <t>350WQC950-8-30/6</t>
  </si>
  <si>
    <t>350WQC1100-8-37/6</t>
  </si>
  <si>
    <t>350WQC1150-10-45/6</t>
  </si>
  <si>
    <t>350WQC1200-12-55/6</t>
  </si>
  <si>
    <t>350WQC1200-18-90/6</t>
  </si>
  <si>
    <t>350WQC1200-20-110/6</t>
  </si>
  <si>
    <t>350WQC1100-16-75/6</t>
  </si>
  <si>
    <t>350WQC1400-15-90/6</t>
  </si>
  <si>
    <t>350WQC1600-17-110/6</t>
  </si>
  <si>
    <t>350WQC1700-20-132/6</t>
  </si>
  <si>
    <t>350WQC1100-35-160/6</t>
  </si>
  <si>
    <t>400WQC1600-11-75/6</t>
  </si>
  <si>
    <t>400WQC1800-12-90/6</t>
  </si>
  <si>
    <t>400WQC1900-15-110/6</t>
  </si>
  <si>
    <t>400WQC2300-14-132/6</t>
  </si>
  <si>
    <t>400WQC1600-25-160/6</t>
  </si>
  <si>
    <t>400WQC1200-6-30/8</t>
  </si>
  <si>
    <t>400WQC1300-7-37/8</t>
  </si>
  <si>
    <t>400WQC1400-8-45/8</t>
  </si>
  <si>
    <t>400WQC1500-10-55/8</t>
  </si>
  <si>
    <t>400WQC2000-9-75/8</t>
  </si>
  <si>
    <t>400WQC2200-10-90/8</t>
  </si>
  <si>
    <t>400WQC2200-12-110/8</t>
  </si>
  <si>
    <t>400WQC2200-15-132/8</t>
  </si>
  <si>
    <t>400WQC2400-17-160/8</t>
  </si>
  <si>
    <t>500WQC2500-8-90/8</t>
  </si>
  <si>
    <t>500WQC2500-10-110/8</t>
  </si>
  <si>
    <t>500WQC3000-10-132/8</t>
  </si>
  <si>
    <t>500WQC3000-14-160/8</t>
  </si>
  <si>
    <r>
      <t xml:space="preserve">Нержавеющая сталь AISI 304, версия материального исполнения из </t>
    </r>
    <r>
      <rPr>
        <sz val="11"/>
        <color indexed="10"/>
        <rFont val="Verdana"/>
        <family val="2"/>
        <charset val="204"/>
      </rPr>
      <t>AISI 316</t>
    </r>
    <r>
      <rPr>
        <sz val="11"/>
        <rFont val="Verdana"/>
        <family val="2"/>
      </rPr>
      <t xml:space="preserve"> доступна и определяется как цена CHL</t>
    </r>
    <r>
      <rPr>
        <sz val="11"/>
        <color indexed="10"/>
        <rFont val="Verdana"/>
        <family val="2"/>
        <charset val="204"/>
      </rPr>
      <t xml:space="preserve">+35% </t>
    </r>
  </si>
  <si>
    <r>
      <t xml:space="preserve">Нержавеющая сталь AISI 304, версия материального исполнения из </t>
    </r>
    <r>
      <rPr>
        <sz val="11"/>
        <color indexed="10"/>
        <rFont val="Verdana"/>
        <family val="2"/>
        <charset val="204"/>
      </rPr>
      <t>AISI 316</t>
    </r>
    <r>
      <rPr>
        <sz val="11"/>
        <rFont val="Verdana"/>
        <family val="2"/>
      </rPr>
      <t xml:space="preserve"> доступна и определяется как цена CHLF</t>
    </r>
    <r>
      <rPr>
        <sz val="11"/>
        <color indexed="10"/>
        <rFont val="Verdana"/>
        <family val="2"/>
        <charset val="204"/>
      </rPr>
      <t xml:space="preserve">+35% </t>
    </r>
  </si>
  <si>
    <t>Завод может корректировать стомиость в зависимости от модели насоса.</t>
  </si>
  <si>
    <t>+10 % к стоимости насоса WQ</t>
  </si>
  <si>
    <t xml:space="preserve">Датчик протечки/влажности в масляной камере, датчик протечки/влажности в статоре и датчик PTC  в статоре двигателя насоса WQ </t>
  </si>
  <si>
    <r>
      <t xml:space="preserve">Отдельно датчик протечки/влажности в масляной камере механического уплотнения насоса </t>
    </r>
    <r>
      <rPr>
        <b/>
        <sz val="12"/>
        <rFont val="Verdana"/>
        <family val="2"/>
        <charset val="204"/>
      </rPr>
      <t>WQ</t>
    </r>
  </si>
  <si>
    <t>2 полюса</t>
  </si>
  <si>
    <t>0,75 - 1,10 кВт</t>
  </si>
  <si>
    <t>3,57 USD с НДС</t>
  </si>
  <si>
    <t>1,50 - 2,20 кВт</t>
  </si>
  <si>
    <t>4,28 USD с НДС</t>
  </si>
  <si>
    <t>3,0 кВт</t>
  </si>
  <si>
    <t>5,71 USD с НДС</t>
  </si>
  <si>
    <t>4 полюса</t>
  </si>
  <si>
    <t>4,0 кВт</t>
  </si>
  <si>
    <t>6,78 USD с НДС</t>
  </si>
  <si>
    <t>кол-во полюсов двигателя</t>
  </si>
  <si>
    <t>Цена USD  с НДС за 1 метр.</t>
  </si>
  <si>
    <t>Кабель для насоса WQ дополнительно к стандартной длине</t>
  </si>
  <si>
    <t>5,50 кВт</t>
  </si>
  <si>
    <t>8,57 USD с НДС</t>
  </si>
  <si>
    <t>7,50 кВт</t>
  </si>
  <si>
    <t>11,0 кВт</t>
  </si>
  <si>
    <t>10,35 USD с НДС</t>
  </si>
  <si>
    <t>13,92 USD с НДС</t>
  </si>
  <si>
    <t>15,0 кВт</t>
  </si>
  <si>
    <t>18,50 кВт</t>
  </si>
  <si>
    <t>22,0 кВт</t>
  </si>
  <si>
    <t>20,35 USD с НДС</t>
  </si>
  <si>
    <t>25,00 USD с НДС</t>
  </si>
  <si>
    <t>34,27 USD с НДС</t>
  </si>
  <si>
    <t>2 - 4  полюса</t>
  </si>
  <si>
    <t>11,0 - 15,0 кВт</t>
  </si>
  <si>
    <t>30,0 кВт</t>
  </si>
  <si>
    <t>54,98 USD с НДС</t>
  </si>
  <si>
    <t>37,0 - 45,0 - 55,0  кВт</t>
  </si>
  <si>
    <t>76,40 USD с НДС</t>
  </si>
  <si>
    <t>75,0 кВт</t>
  </si>
  <si>
    <t>110,67 USD с НДС</t>
  </si>
  <si>
    <t>4 - 6  полюса</t>
  </si>
  <si>
    <t>90,0 - 110,0 кВт</t>
  </si>
  <si>
    <t>151,37 USD с НДС</t>
  </si>
  <si>
    <t>132,0 кВт</t>
  </si>
  <si>
    <t>160,0 - 185,0 кВт</t>
  </si>
  <si>
    <t>200,0 - 250,0 кВт</t>
  </si>
  <si>
    <t>315,0 кВт</t>
  </si>
  <si>
    <t>196,71 USD с НДС</t>
  </si>
  <si>
    <t>303,45 USD с НДС</t>
  </si>
  <si>
    <t>392,70 USD с НДС</t>
  </si>
  <si>
    <t>535,50 USD с НДС</t>
  </si>
  <si>
    <t>WQC  с закрытой рубашкой охлаждения (комплект для вертикальной и горизонтальной установки включён в стоимость). Насос оснащён датчиком протечки в статоре, датчиком протечки в масляной камере уплотнения и датчиком PTC .</t>
  </si>
</sst>
</file>

<file path=xl/styles.xml><?xml version="1.0" encoding="utf-8"?>
<styleSheet xmlns="http://schemas.openxmlformats.org/spreadsheetml/2006/main">
  <numFmts count="3">
    <numFmt numFmtId="164" formatCode="0.000_ "/>
    <numFmt numFmtId="165" formatCode="0.0_ "/>
    <numFmt numFmtId="166" formatCode="0.00_ "/>
  </numFmts>
  <fonts count="72">
    <font>
      <sz val="12"/>
      <name val="宋体"/>
      <charset val="134"/>
    </font>
    <font>
      <sz val="12"/>
      <name val="Verdana"/>
      <family val="2"/>
    </font>
    <font>
      <sz val="12"/>
      <color indexed="10"/>
      <name val="Verdana"/>
      <family val="2"/>
    </font>
    <font>
      <b/>
      <sz val="18"/>
      <color indexed="9"/>
      <name val="Tahoma"/>
      <family val="2"/>
      <charset val="204"/>
    </font>
    <font>
      <b/>
      <sz val="18"/>
      <name val="Tahoma"/>
      <family val="2"/>
      <charset val="204"/>
    </font>
    <font>
      <b/>
      <sz val="11"/>
      <name val="Verdana"/>
      <family val="2"/>
    </font>
    <font>
      <sz val="10"/>
      <name val="Verdana"/>
      <family val="2"/>
    </font>
    <font>
      <sz val="11"/>
      <name val="Verdana"/>
      <family val="2"/>
    </font>
    <font>
      <b/>
      <sz val="11"/>
      <name val="微软雅黑"/>
      <family val="2"/>
      <charset val="134"/>
    </font>
    <font>
      <b/>
      <sz val="20"/>
      <color indexed="9"/>
      <name val="Tahoma"/>
      <family val="2"/>
      <charset val="204"/>
    </font>
    <font>
      <sz val="9"/>
      <name val="宋体"/>
      <charset val="134"/>
    </font>
    <font>
      <i/>
      <sz val="12"/>
      <color indexed="23"/>
      <name val="宋体"/>
      <charset val="134"/>
    </font>
    <font>
      <sz val="12"/>
      <color indexed="60"/>
      <name val="宋体"/>
      <charset val="134"/>
    </font>
    <font>
      <sz val="12"/>
      <name val="宋体"/>
      <charset val="134"/>
    </font>
    <font>
      <b/>
      <sz val="20"/>
      <color indexed="9"/>
      <name val="Tahoma"/>
      <family val="2"/>
      <charset val="134"/>
    </font>
    <font>
      <b/>
      <sz val="18"/>
      <color indexed="9"/>
      <name val="Tahoma"/>
      <family val="2"/>
      <charset val="134"/>
    </font>
    <font>
      <b/>
      <sz val="18"/>
      <name val="Tahoma"/>
      <family val="2"/>
      <charset val="134"/>
    </font>
    <font>
      <b/>
      <sz val="12"/>
      <name val="宋体"/>
      <charset val="204"/>
    </font>
    <font>
      <b/>
      <sz val="11"/>
      <name val="Verdana"/>
      <family val="2"/>
      <charset val="204"/>
    </font>
    <font>
      <sz val="12"/>
      <name val="Verdana"/>
      <family val="2"/>
      <charset val="204"/>
    </font>
    <font>
      <b/>
      <sz val="18"/>
      <name val="Tahoma"/>
      <family val="2"/>
      <charset val="204"/>
    </font>
    <font>
      <sz val="11"/>
      <color indexed="10"/>
      <name val="Verdana"/>
      <family val="2"/>
      <charset val="204"/>
    </font>
    <font>
      <b/>
      <sz val="11"/>
      <color indexed="10"/>
      <name val="Verdana"/>
      <family val="2"/>
      <charset val="204"/>
    </font>
    <font>
      <b/>
      <sz val="10.5"/>
      <name val="Tahoma"/>
      <family val="2"/>
      <charset val="134"/>
    </font>
    <font>
      <sz val="12"/>
      <name val="微软雅黑"/>
      <family val="2"/>
      <charset val="134"/>
    </font>
    <font>
      <b/>
      <sz val="26"/>
      <name val="微软雅黑"/>
      <family val="2"/>
      <charset val="134"/>
    </font>
    <font>
      <b/>
      <sz val="22"/>
      <name val="微软雅黑"/>
      <family val="2"/>
      <charset val="134"/>
    </font>
    <font>
      <sz val="22"/>
      <name val="微软雅黑"/>
      <family val="2"/>
      <charset val="134"/>
    </font>
    <font>
      <sz val="14"/>
      <name val="微软雅黑"/>
      <family val="2"/>
      <charset val="134"/>
    </font>
    <font>
      <sz val="10"/>
      <name val="Tahoma"/>
      <family val="2"/>
      <charset val="134"/>
    </font>
    <font>
      <b/>
      <sz val="10"/>
      <name val="Verdana"/>
      <family val="2"/>
    </font>
    <font>
      <b/>
      <sz val="10"/>
      <name val="宋体"/>
      <charset val="204"/>
    </font>
    <font>
      <b/>
      <sz val="16"/>
      <name val="Tahoma"/>
      <family val="2"/>
      <charset val="204"/>
    </font>
    <font>
      <sz val="16"/>
      <name val="Tahoma"/>
      <family val="2"/>
      <charset val="204"/>
    </font>
    <font>
      <i/>
      <sz val="11"/>
      <name val="Verdana"/>
      <family val="2"/>
      <charset val="204"/>
    </font>
    <font>
      <b/>
      <sz val="12"/>
      <name val="Verdana"/>
      <family val="2"/>
      <charset val="204"/>
    </font>
    <font>
      <b/>
      <sz val="14"/>
      <name val="Tahoma"/>
      <family val="2"/>
      <charset val="134"/>
    </font>
    <font>
      <sz val="14"/>
      <name val="宋体"/>
      <charset val="134"/>
    </font>
    <font>
      <b/>
      <sz val="12"/>
      <name val="微软雅黑"/>
      <family val="2"/>
      <charset val="134"/>
    </font>
    <font>
      <sz val="12"/>
      <name val="宋体"/>
      <charset val="204"/>
    </font>
    <font>
      <b/>
      <sz val="11"/>
      <name val="宋体"/>
      <charset val="204"/>
    </font>
    <font>
      <sz val="18"/>
      <name val="宋体"/>
      <charset val="134"/>
    </font>
    <font>
      <sz val="10"/>
      <color theme="1"/>
      <name val="Arial"/>
      <family val="2"/>
    </font>
    <font>
      <b/>
      <sz val="18"/>
      <color rgb="FFEF3F65"/>
      <name val="Verdana"/>
      <family val="2"/>
    </font>
    <font>
      <b/>
      <sz val="22"/>
      <color rgb="FFFFFFFF"/>
      <name val="Tahoma"/>
      <family val="2"/>
      <charset val="204"/>
    </font>
    <font>
      <b/>
      <sz val="18"/>
      <color rgb="FFFFFFFF"/>
      <name val="Tahoma"/>
      <family val="2"/>
      <charset val="204"/>
    </font>
    <font>
      <b/>
      <sz val="12"/>
      <color rgb="FFEF3F65"/>
      <name val="Verdana"/>
      <family val="2"/>
    </font>
    <font>
      <sz val="12"/>
      <color rgb="FFFFFFFF"/>
      <name val="Verdana"/>
      <family val="2"/>
    </font>
    <font>
      <b/>
      <sz val="12"/>
      <color rgb="FFFFFFFF"/>
      <name val="Verdana"/>
      <family val="2"/>
    </font>
    <font>
      <b/>
      <sz val="20"/>
      <color rgb="FFFFFFFF"/>
      <name val="Tahoma"/>
      <family val="2"/>
      <charset val="204"/>
    </font>
    <font>
      <b/>
      <sz val="11"/>
      <color rgb="FFEF3F65"/>
      <name val="Verdana"/>
      <family val="2"/>
    </font>
    <font>
      <b/>
      <sz val="11"/>
      <color rgb="FFFF0000"/>
      <name val="Verdana"/>
      <family val="2"/>
    </font>
    <font>
      <b/>
      <sz val="22"/>
      <color rgb="FFFFFFFF"/>
      <name val="Tahoma"/>
      <family val="2"/>
      <charset val="134"/>
    </font>
    <font>
      <b/>
      <sz val="18"/>
      <color rgb="FFFFFFFF"/>
      <name val="Tahoma"/>
      <family val="2"/>
      <charset val="134"/>
    </font>
    <font>
      <b/>
      <sz val="16"/>
      <color rgb="FFFFFFFF"/>
      <name val="微软雅黑"/>
      <family val="2"/>
      <charset val="134"/>
    </font>
    <font>
      <b/>
      <sz val="20"/>
      <color rgb="FFFFFFFF"/>
      <name val="Tahoma"/>
      <family val="2"/>
      <charset val="134"/>
    </font>
    <font>
      <b/>
      <sz val="12"/>
      <color theme="8" tint="-0.499984740745262"/>
      <name val="宋体"/>
      <charset val="204"/>
    </font>
    <font>
      <b/>
      <sz val="20"/>
      <color rgb="FFDD0806"/>
      <name val="微软雅黑"/>
      <family val="2"/>
      <charset val="134"/>
    </font>
    <font>
      <sz val="14"/>
      <color theme="1" tint="0.249977111117893"/>
      <name val="微软雅黑"/>
      <family val="2"/>
      <charset val="134"/>
    </font>
    <font>
      <sz val="10"/>
      <color rgb="FF000000"/>
      <name val="微软雅黑"/>
      <family val="2"/>
      <charset val="134"/>
    </font>
    <font>
      <b/>
      <sz val="14"/>
      <color rgb="FFFF0000"/>
      <name val="Tahoma"/>
      <family val="2"/>
      <charset val="134"/>
    </font>
    <font>
      <b/>
      <sz val="18"/>
      <color rgb="FFEF3F65"/>
      <name val="宋体"/>
      <charset val="134"/>
    </font>
    <font>
      <b/>
      <sz val="11"/>
      <color theme="0" tint="-0.249977111117893"/>
      <name val="Verdana"/>
      <family val="2"/>
      <charset val="204"/>
    </font>
    <font>
      <sz val="10"/>
      <color rgb="FFFF0000"/>
      <name val="Verdana"/>
      <family val="2"/>
    </font>
    <font>
      <sz val="12"/>
      <color rgb="FFFF0000"/>
      <name val="CG Omega"/>
      <family val="2"/>
    </font>
    <font>
      <b/>
      <sz val="10"/>
      <color rgb="FFFF0000"/>
      <name val="Verdana"/>
      <family val="2"/>
      <charset val="204"/>
    </font>
    <font>
      <b/>
      <sz val="12"/>
      <color rgb="FFFF0000"/>
      <name val="宋体"/>
      <charset val="204"/>
    </font>
    <font>
      <b/>
      <sz val="12"/>
      <color theme="1"/>
      <name val="Verdana"/>
      <family val="2"/>
    </font>
    <font>
      <b/>
      <sz val="12"/>
      <color theme="1"/>
      <name val="Verdana"/>
      <family val="2"/>
      <charset val="204"/>
    </font>
    <font>
      <b/>
      <sz val="12"/>
      <color rgb="FFFF0000"/>
      <name val="Verdana"/>
      <family val="2"/>
      <charset val="204"/>
    </font>
    <font>
      <sz val="12"/>
      <color rgb="FFFF0000"/>
      <name val="宋体"/>
      <charset val="134"/>
    </font>
    <font>
      <sz val="12"/>
      <name val="Bookman Old Style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EF3F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4">
    <border>
      <left/>
      <right/>
      <top/>
      <bottom/>
      <diagonal/>
    </border>
    <border>
      <left/>
      <right style="medium">
        <color indexed="55"/>
      </right>
      <top/>
      <bottom/>
      <diagonal/>
    </border>
    <border>
      <left/>
      <right style="medium">
        <color indexed="55"/>
      </right>
      <top/>
      <bottom style="medium">
        <color indexed="55"/>
      </bottom>
      <diagonal/>
    </border>
    <border>
      <left style="medium">
        <color indexed="55"/>
      </left>
      <right style="thin">
        <color indexed="55"/>
      </right>
      <top/>
      <bottom style="medium">
        <color indexed="55"/>
      </bottom>
      <diagonal/>
    </border>
    <border>
      <left/>
      <right style="thin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 style="thin">
        <color indexed="55"/>
      </right>
      <top/>
      <bottom/>
      <diagonal/>
    </border>
    <border>
      <left/>
      <right/>
      <top style="medium">
        <color indexed="55"/>
      </top>
      <bottom/>
      <diagonal/>
    </border>
    <border>
      <left/>
      <right style="thin">
        <color indexed="55"/>
      </right>
      <top/>
      <bottom style="medium">
        <color indexed="55"/>
      </bottom>
      <diagonal/>
    </border>
    <border>
      <left style="thin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/>
      <top style="medium">
        <color indexed="55"/>
      </top>
      <bottom style="thin">
        <color indexed="55"/>
      </bottom>
      <diagonal/>
    </border>
    <border>
      <left/>
      <right/>
      <top style="medium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55"/>
      </top>
      <bottom style="medium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/>
      <diagonal/>
    </border>
    <border>
      <left style="medium">
        <color indexed="55"/>
      </left>
      <right style="medium">
        <color indexed="55"/>
      </right>
      <top/>
      <bottom/>
      <diagonal/>
    </border>
    <border>
      <left/>
      <right/>
      <top/>
      <bottom style="medium">
        <color indexed="55"/>
      </bottom>
      <diagonal/>
    </border>
    <border>
      <left style="medium">
        <color indexed="55"/>
      </left>
      <right style="thin">
        <color indexed="55"/>
      </right>
      <top style="thin">
        <color indexed="55"/>
      </top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55"/>
      </right>
      <top style="medium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medium">
        <color indexed="55"/>
      </bottom>
      <diagonal/>
    </border>
    <border>
      <left/>
      <right/>
      <top style="thin">
        <color indexed="55"/>
      </top>
      <bottom style="medium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/>
      <bottom style="medium">
        <color indexed="5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55"/>
      </left>
      <right style="thin">
        <color rgb="FF969696"/>
      </right>
      <top style="medium">
        <color indexed="55"/>
      </top>
      <bottom/>
      <diagonal/>
    </border>
    <border>
      <left style="thin">
        <color rgb="FF969696"/>
      </left>
      <right style="thin">
        <color rgb="FF969696"/>
      </right>
      <top style="medium">
        <color indexed="55"/>
      </top>
      <bottom/>
      <diagonal/>
    </border>
    <border>
      <left style="medium">
        <color indexed="55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medium">
        <color indexed="55"/>
      </left>
      <right style="thin">
        <color rgb="FF969696"/>
      </right>
      <top/>
      <bottom style="medium">
        <color indexed="55"/>
      </bottom>
      <diagonal/>
    </border>
    <border>
      <left style="thin">
        <color rgb="FF969696"/>
      </left>
      <right style="thin">
        <color rgb="FF969696"/>
      </right>
      <top/>
      <bottom style="medium">
        <color indexed="55"/>
      </bottom>
      <diagonal/>
    </border>
    <border>
      <left style="medium">
        <color indexed="55"/>
      </left>
      <right style="thin">
        <color rgb="FF969696"/>
      </right>
      <top style="medium">
        <color indexed="55"/>
      </top>
      <bottom style="medium">
        <color indexed="55"/>
      </bottom>
      <diagonal/>
    </border>
    <border>
      <left style="thin">
        <color rgb="FF969696"/>
      </left>
      <right style="thin">
        <color rgb="FF969696"/>
      </right>
      <top style="medium">
        <color indexed="55"/>
      </top>
      <bottom style="medium">
        <color indexed="55"/>
      </bottom>
      <diagonal/>
    </border>
    <border>
      <left style="thin">
        <color rgb="FF969696"/>
      </left>
      <right style="medium">
        <color rgb="FF969696"/>
      </right>
      <top style="medium">
        <color indexed="55"/>
      </top>
      <bottom/>
      <diagonal/>
    </border>
    <border>
      <left style="thin">
        <color rgb="FF969696"/>
      </left>
      <right style="medium">
        <color rgb="FF969696"/>
      </right>
      <top/>
      <bottom/>
      <diagonal/>
    </border>
    <border>
      <left style="thin">
        <color rgb="FF969696"/>
      </left>
      <right style="medium">
        <color rgb="FF969696"/>
      </right>
      <top/>
      <bottom style="medium">
        <color indexed="55"/>
      </bottom>
      <diagonal/>
    </border>
    <border>
      <left/>
      <right style="thin">
        <color theme="0" tint="-0.34998626667073579"/>
      </right>
      <top/>
      <bottom style="medium">
        <color indexed="55"/>
      </bottom>
      <diagonal/>
    </border>
    <border>
      <left style="thin">
        <color theme="0" tint="-0.34998626667073579"/>
      </left>
      <right/>
      <top/>
      <bottom style="medium">
        <color indexed="55"/>
      </bottom>
      <diagonal/>
    </border>
    <border>
      <left style="medium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medium">
        <color rgb="FF969696"/>
      </right>
      <top style="medium">
        <color indexed="55"/>
      </top>
      <bottom style="medium">
        <color indexed="55"/>
      </bottom>
      <diagonal/>
    </border>
    <border>
      <left/>
      <right style="thin">
        <color theme="0" tint="-0.34998626667073579"/>
      </right>
      <top style="medium">
        <color indexed="55"/>
      </top>
      <bottom style="medium">
        <color indexed="55"/>
      </bottom>
      <diagonal/>
    </border>
    <border>
      <left style="thin">
        <color theme="0" tint="-0.34998626667073579"/>
      </left>
      <right/>
      <top style="medium">
        <color indexed="55"/>
      </top>
      <bottom style="medium">
        <color indexed="55"/>
      </bottom>
      <diagonal/>
    </border>
    <border>
      <left style="medium">
        <color rgb="FF969696"/>
      </left>
      <right style="thin">
        <color indexed="55"/>
      </right>
      <top style="medium">
        <color indexed="55"/>
      </top>
      <bottom style="medium">
        <color indexed="55"/>
      </bottom>
      <diagonal/>
    </border>
    <border>
      <left style="thin">
        <color theme="0" tint="-0.249977111117893"/>
      </left>
      <right/>
      <top style="medium">
        <color indexed="55"/>
      </top>
      <bottom style="medium">
        <color indexed="55"/>
      </bottom>
      <diagonal/>
    </border>
    <border>
      <left style="thin">
        <color rgb="FF969696"/>
      </left>
      <right/>
      <top/>
      <bottom/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medium">
        <color rgb="FF969696"/>
      </left>
      <right style="thin">
        <color rgb="FF969696"/>
      </right>
      <top/>
      <bottom style="thin">
        <color indexed="64"/>
      </bottom>
      <diagonal/>
    </border>
    <border>
      <left style="thin">
        <color rgb="FF969696"/>
      </left>
      <right style="medium">
        <color rgb="FF969696"/>
      </right>
      <top/>
      <bottom style="thin">
        <color indexed="64"/>
      </bottom>
      <diagonal/>
    </border>
    <border>
      <left style="medium">
        <color rgb="FF969696"/>
      </left>
      <right style="thin">
        <color indexed="55"/>
      </right>
      <top style="medium">
        <color indexed="55"/>
      </top>
      <bottom/>
      <diagonal/>
    </border>
    <border>
      <left style="medium">
        <color rgb="FF969696"/>
      </left>
      <right style="medium">
        <color rgb="FF969696"/>
      </right>
      <top style="medium">
        <color indexed="55"/>
      </top>
      <bottom/>
      <diagonal/>
    </border>
    <border>
      <left/>
      <right style="thin">
        <color rgb="FFA6A6A6"/>
      </right>
      <top/>
      <bottom style="medium">
        <color indexed="55"/>
      </bottom>
      <diagonal/>
    </border>
    <border>
      <left style="thin">
        <color rgb="FFA6A6A6"/>
      </left>
      <right style="medium">
        <color indexed="55"/>
      </right>
      <top/>
      <bottom style="medium">
        <color indexed="55"/>
      </bottom>
      <diagonal/>
    </border>
    <border>
      <left style="medium">
        <color rgb="FF969696"/>
      </left>
      <right style="medium">
        <color rgb="FF969696"/>
      </right>
      <top/>
      <bottom/>
      <diagonal/>
    </border>
    <border>
      <left style="medium">
        <color rgb="FF969696"/>
      </left>
      <right style="medium">
        <color rgb="FF969696"/>
      </right>
      <top/>
      <bottom style="medium">
        <color rgb="FF969696"/>
      </bottom>
      <diagonal/>
    </border>
    <border>
      <left style="thin">
        <color rgb="FF969696"/>
      </left>
      <right style="thin">
        <color indexed="55"/>
      </right>
      <top/>
      <bottom style="thin">
        <color indexed="64"/>
      </bottom>
      <diagonal/>
    </border>
    <border>
      <left style="thin">
        <color rgb="FF969696"/>
      </left>
      <right/>
      <top style="medium">
        <color indexed="55"/>
      </top>
      <bottom style="medium">
        <color indexed="55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969696"/>
      </left>
      <right/>
      <top/>
      <bottom/>
      <diagonal/>
    </border>
    <border>
      <left style="thin">
        <color theme="0" tint="-0.34998626667073579"/>
      </left>
      <right/>
      <top style="medium">
        <color rgb="FF969696"/>
      </top>
      <bottom style="thin">
        <color theme="0" tint="-0.34998626667073579"/>
      </bottom>
      <diagonal/>
    </border>
    <border>
      <left/>
      <right/>
      <top style="medium">
        <color rgb="FF969696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rgb="FF969696"/>
      </bottom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 style="medium">
        <color indexed="55"/>
      </top>
      <bottom/>
      <diagonal/>
    </border>
    <border>
      <left style="medium">
        <color rgb="FF969696"/>
      </left>
      <right style="medium">
        <color indexed="55"/>
      </right>
      <top style="medium">
        <color indexed="55"/>
      </top>
      <bottom/>
      <diagonal/>
    </border>
    <border>
      <left style="medium">
        <color rgb="FF969696"/>
      </left>
      <right style="medium">
        <color indexed="55"/>
      </right>
      <top/>
      <bottom/>
      <diagonal/>
    </border>
    <border>
      <left style="medium">
        <color rgb="FF969696"/>
      </left>
      <right style="medium">
        <color rgb="FF969696"/>
      </right>
      <top style="medium">
        <color indexed="55"/>
      </top>
      <bottom style="medium">
        <color rgb="FF969696"/>
      </bottom>
      <diagonal/>
    </border>
    <border>
      <left/>
      <right style="medium">
        <color rgb="FF969696"/>
      </right>
      <top style="medium">
        <color indexed="55"/>
      </top>
      <bottom/>
      <diagonal/>
    </border>
    <border>
      <left/>
      <right style="medium">
        <color rgb="FF969696"/>
      </right>
      <top/>
      <bottom/>
      <diagonal/>
    </border>
    <border>
      <left style="medium">
        <color indexed="55"/>
      </left>
      <right style="medium">
        <color rgb="FF969696"/>
      </right>
      <top/>
      <bottom/>
      <diagonal/>
    </border>
    <border>
      <left style="thin">
        <color rgb="FF969696"/>
      </left>
      <right/>
      <top style="medium">
        <color indexed="55"/>
      </top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2" fillId="3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34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NumberFormat="1" applyFont="1" applyFill="1">
      <alignment vertical="center"/>
    </xf>
    <xf numFmtId="0" fontId="43" fillId="0" borderId="0" xfId="0" applyNumberFormat="1" applyFont="1" applyFill="1" applyAlignment="1">
      <alignment horizontal="center" vertical="center"/>
    </xf>
    <xf numFmtId="0" fontId="44" fillId="4" borderId="0" xfId="0" applyNumberFormat="1" applyFont="1" applyFill="1" applyBorder="1" applyAlignment="1">
      <alignment vertical="center"/>
    </xf>
    <xf numFmtId="0" fontId="45" fillId="4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46" fillId="0" borderId="0" xfId="0" applyNumberFormat="1" applyFont="1" applyFill="1" applyBorder="1" applyAlignment="1">
      <alignment horizontal="center" vertical="center"/>
    </xf>
    <xf numFmtId="0" fontId="47" fillId="4" borderId="0" xfId="0" applyNumberFormat="1" applyFont="1" applyFill="1" applyBorder="1" applyAlignment="1">
      <alignment vertical="center"/>
    </xf>
    <xf numFmtId="0" fontId="5" fillId="2" borderId="50" xfId="0" applyNumberFormat="1" applyFont="1" applyFill="1" applyBorder="1" applyAlignment="1">
      <alignment horizontal="center" vertical="center" wrapText="1"/>
    </xf>
    <xf numFmtId="0" fontId="5" fillId="2" borderId="51" xfId="0" applyNumberFormat="1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52" xfId="0" applyNumberFormat="1" applyFont="1" applyFill="1" applyBorder="1" applyAlignment="1">
      <alignment horizontal="center" vertical="center"/>
    </xf>
    <xf numFmtId="0" fontId="5" fillId="2" borderId="53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5" fillId="2" borderId="54" xfId="0" applyNumberFormat="1" applyFont="1" applyFill="1" applyBorder="1" applyAlignment="1">
      <alignment horizontal="center" vertical="center"/>
    </xf>
    <xf numFmtId="0" fontId="5" fillId="2" borderId="55" xfId="0" applyNumberFormat="1" applyFont="1" applyFill="1" applyBorder="1" applyAlignment="1">
      <alignment horizontal="center" vertical="center"/>
    </xf>
    <xf numFmtId="0" fontId="6" fillId="0" borderId="56" xfId="0" applyNumberFormat="1" applyFont="1" applyFill="1" applyBorder="1" applyAlignment="1">
      <alignment horizontal="center" vertical="center"/>
    </xf>
    <xf numFmtId="0" fontId="6" fillId="0" borderId="57" xfId="0" applyNumberFormat="1" applyFont="1" applyFill="1" applyBorder="1" applyAlignment="1">
      <alignment horizontal="center" vertical="center"/>
    </xf>
    <xf numFmtId="0" fontId="48" fillId="4" borderId="0" xfId="0" applyNumberFormat="1" applyFont="1" applyFill="1" applyBorder="1" applyAlignment="1">
      <alignment vertical="center"/>
    </xf>
    <xf numFmtId="0" fontId="5" fillId="2" borderId="58" xfId="0" applyNumberFormat="1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0" fontId="5" fillId="2" borderId="59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60" xfId="0" applyNumberFormat="1" applyFont="1" applyFill="1" applyBorder="1" applyAlignment="1">
      <alignment horizontal="center" vertical="center"/>
    </xf>
    <xf numFmtId="0" fontId="5" fillId="2" borderId="61" xfId="0" applyNumberFormat="1" applyFont="1" applyFill="1" applyBorder="1" applyAlignment="1">
      <alignment horizontal="center" vertical="center"/>
    </xf>
    <xf numFmtId="0" fontId="5" fillId="2" borderId="62" xfId="0" applyNumberFormat="1" applyFont="1" applyFill="1" applyBorder="1" applyAlignment="1">
      <alignment horizontal="center" vertical="center"/>
    </xf>
    <xf numFmtId="0" fontId="46" fillId="0" borderId="63" xfId="0" applyNumberFormat="1" applyFont="1" applyFill="1" applyBorder="1" applyAlignment="1">
      <alignment horizontal="center" vertical="center"/>
    </xf>
    <xf numFmtId="0" fontId="6" fillId="0" borderId="64" xfId="0" applyNumberFormat="1" applyFont="1" applyFill="1" applyBorder="1" applyAlignment="1">
      <alignment horizontal="center" vertical="center"/>
    </xf>
    <xf numFmtId="0" fontId="6" fillId="0" borderId="65" xfId="0" applyNumberFormat="1" applyFont="1" applyFill="1" applyBorder="1" applyAlignment="1">
      <alignment horizontal="center" vertical="center"/>
    </xf>
    <xf numFmtId="164" fontId="6" fillId="0" borderId="66" xfId="0" applyNumberFormat="1" applyFont="1" applyFill="1" applyBorder="1" applyAlignment="1">
      <alignment horizontal="center" vertical="center"/>
    </xf>
    <xf numFmtId="165" fontId="5" fillId="0" borderId="67" xfId="0" applyNumberFormat="1" applyFont="1" applyFill="1" applyBorder="1" applyAlignment="1">
      <alignment horizontal="center" vertical="center"/>
    </xf>
    <xf numFmtId="164" fontId="6" fillId="0" borderId="68" xfId="0" applyNumberFormat="1" applyFont="1" applyFill="1" applyBorder="1" applyAlignment="1">
      <alignment horizontal="center" vertical="center"/>
    </xf>
    <xf numFmtId="0" fontId="46" fillId="0" borderId="69" xfId="0" applyNumberFormat="1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left" vertical="center"/>
    </xf>
    <xf numFmtId="0" fontId="7" fillId="5" borderId="13" xfId="0" applyFont="1" applyFill="1" applyBorder="1">
      <alignment vertical="center"/>
    </xf>
    <xf numFmtId="0" fontId="7" fillId="5" borderId="14" xfId="0" applyFont="1" applyFill="1" applyBorder="1">
      <alignment vertical="center"/>
    </xf>
    <xf numFmtId="0" fontId="5" fillId="5" borderId="15" xfId="0" applyFont="1" applyFill="1" applyBorder="1" applyAlignment="1">
      <alignment horizontal="left" vertical="center"/>
    </xf>
    <xf numFmtId="0" fontId="7" fillId="5" borderId="16" xfId="0" applyFont="1" applyFill="1" applyBorder="1">
      <alignment vertical="center"/>
    </xf>
    <xf numFmtId="0" fontId="7" fillId="5" borderId="17" xfId="0" applyFont="1" applyFill="1" applyBorder="1">
      <alignment vertical="center"/>
    </xf>
    <xf numFmtId="0" fontId="6" fillId="0" borderId="0" xfId="0" applyFont="1">
      <alignment vertical="center"/>
    </xf>
    <xf numFmtId="0" fontId="1" fillId="5" borderId="14" xfId="0" applyFont="1" applyFill="1" applyBorder="1">
      <alignment vertical="center"/>
    </xf>
    <xf numFmtId="0" fontId="1" fillId="5" borderId="17" xfId="0" applyFont="1" applyFill="1" applyBorder="1">
      <alignment vertical="center"/>
    </xf>
    <xf numFmtId="0" fontId="49" fillId="4" borderId="0" xfId="0" applyNumberFormat="1" applyFont="1" applyFill="1" applyBorder="1" applyAlignment="1">
      <alignment vertical="center"/>
    </xf>
    <xf numFmtId="0" fontId="50" fillId="0" borderId="0" xfId="0" applyNumberFormat="1" applyFont="1" applyFill="1" applyBorder="1" applyAlignment="1">
      <alignment horizontal="center" vertical="center"/>
    </xf>
    <xf numFmtId="0" fontId="51" fillId="2" borderId="2" xfId="0" applyNumberFormat="1" applyFont="1" applyFill="1" applyBorder="1" applyAlignment="1">
      <alignment horizontal="center" vertical="center"/>
    </xf>
    <xf numFmtId="0" fontId="7" fillId="5" borderId="18" xfId="0" applyFont="1" applyFill="1" applyBorder="1">
      <alignment vertical="center"/>
    </xf>
    <xf numFmtId="0" fontId="7" fillId="5" borderId="19" xfId="0" applyFont="1" applyFill="1" applyBorder="1">
      <alignment vertical="center"/>
    </xf>
    <xf numFmtId="0" fontId="1" fillId="5" borderId="19" xfId="0" applyFont="1" applyFill="1" applyBorder="1">
      <alignment vertical="center"/>
    </xf>
    <xf numFmtId="0" fontId="6" fillId="0" borderId="5" xfId="0" quotePrefix="1" applyNumberFormat="1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left" vertical="center"/>
    </xf>
    <xf numFmtId="0" fontId="52" fillId="4" borderId="0" xfId="0" applyNumberFormat="1" applyFont="1" applyFill="1" applyBorder="1" applyAlignment="1">
      <alignment vertical="center"/>
    </xf>
    <xf numFmtId="0" fontId="53" fillId="4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2" fontId="0" fillId="0" borderId="0" xfId="0" applyNumberFormat="1">
      <alignment vertical="center"/>
    </xf>
    <xf numFmtId="0" fontId="47" fillId="6" borderId="0" xfId="0" applyNumberFormat="1" applyFont="1" applyFill="1" applyBorder="1" applyAlignment="1">
      <alignment vertical="center"/>
    </xf>
    <xf numFmtId="0" fontId="48" fillId="6" borderId="0" xfId="0" applyNumberFormat="1" applyFont="1" applyFill="1" applyBorder="1" applyAlignment="1">
      <alignment vertical="center"/>
    </xf>
    <xf numFmtId="0" fontId="46" fillId="0" borderId="21" xfId="0" applyNumberFormat="1" applyFont="1" applyFill="1" applyBorder="1" applyAlignment="1">
      <alignment horizontal="center" vertical="center"/>
    </xf>
    <xf numFmtId="0" fontId="44" fillId="6" borderId="0" xfId="0" applyNumberFormat="1" applyFont="1" applyFill="1" applyBorder="1" applyAlignment="1">
      <alignment vertical="center"/>
    </xf>
    <xf numFmtId="0" fontId="45" fillId="6" borderId="0" xfId="0" applyNumberFormat="1" applyFont="1" applyFill="1" applyBorder="1" applyAlignment="1">
      <alignment vertical="center"/>
    </xf>
    <xf numFmtId="0" fontId="46" fillId="0" borderId="70" xfId="0" applyNumberFormat="1" applyFont="1" applyFill="1" applyBorder="1" applyAlignment="1">
      <alignment horizontal="center" vertical="center"/>
    </xf>
    <xf numFmtId="0" fontId="5" fillId="2" borderId="2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2" fontId="17" fillId="0" borderId="70" xfId="0" applyNumberFormat="1" applyFont="1" applyBorder="1" applyAlignment="1">
      <alignment horizontal="center" vertical="center"/>
    </xf>
    <xf numFmtId="0" fontId="5" fillId="6" borderId="0" xfId="0" applyFont="1" applyFill="1" applyBorder="1" applyAlignment="1">
      <alignment horizontal="left" vertical="center"/>
    </xf>
    <xf numFmtId="0" fontId="7" fillId="6" borderId="0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0" fillId="6" borderId="0" xfId="0" applyFill="1" applyBorder="1">
      <alignment vertical="center"/>
    </xf>
    <xf numFmtId="2" fontId="17" fillId="0" borderId="23" xfId="0" applyNumberFormat="1" applyFont="1" applyBorder="1" applyAlignment="1">
      <alignment horizontal="center" vertical="center"/>
    </xf>
    <xf numFmtId="2" fontId="17" fillId="0" borderId="24" xfId="0" applyNumberFormat="1" applyFont="1" applyBorder="1" applyAlignment="1">
      <alignment horizontal="center" vertical="center"/>
    </xf>
    <xf numFmtId="0" fontId="46" fillId="0" borderId="71" xfId="0" applyNumberFormat="1" applyFont="1" applyFill="1" applyBorder="1" applyAlignment="1">
      <alignment horizontal="center" vertical="center"/>
    </xf>
    <xf numFmtId="0" fontId="46" fillId="0" borderId="72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2" fontId="17" fillId="0" borderId="0" xfId="0" applyNumberFormat="1" applyFont="1" applyBorder="1" applyAlignment="1">
      <alignment horizontal="center" vertical="center"/>
    </xf>
    <xf numFmtId="0" fontId="5" fillId="0" borderId="21" xfId="0" applyNumberFormat="1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23" xfId="0" applyFont="1" applyBorder="1" applyAlignment="1">
      <alignment horizontal="center" vertical="center" wrapText="1"/>
    </xf>
    <xf numFmtId="0" fontId="49" fillId="4" borderId="23" xfId="0" applyNumberFormat="1" applyFont="1" applyFill="1" applyBorder="1" applyAlignment="1">
      <alignment horizontal="center" vertical="center" wrapText="1"/>
    </xf>
    <xf numFmtId="0" fontId="45" fillId="4" borderId="23" xfId="0" applyNumberFormat="1" applyFont="1" applyFill="1" applyBorder="1" applyAlignment="1">
      <alignment horizontal="center" vertical="center" wrapText="1"/>
    </xf>
    <xf numFmtId="0" fontId="49" fillId="4" borderId="0" xfId="0" applyNumberFormat="1" applyFont="1" applyFill="1" applyBorder="1" applyAlignment="1">
      <alignment vertical="center"/>
    </xf>
    <xf numFmtId="0" fontId="45" fillId="4" borderId="0" xfId="0" applyNumberFormat="1" applyFont="1" applyFill="1" applyBorder="1" applyAlignment="1">
      <alignment vertical="center"/>
    </xf>
    <xf numFmtId="0" fontId="49" fillId="4" borderId="0" xfId="0" applyNumberFormat="1" applyFont="1" applyFill="1" applyBorder="1" applyAlignment="1">
      <alignment vertical="center"/>
    </xf>
    <xf numFmtId="0" fontId="45" fillId="4" borderId="0" xfId="0" applyNumberFormat="1" applyFont="1" applyFill="1" applyBorder="1" applyAlignment="1">
      <alignment vertical="center"/>
    </xf>
    <xf numFmtId="0" fontId="45" fillId="4" borderId="0" xfId="0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center" vertical="center"/>
    </xf>
    <xf numFmtId="0" fontId="6" fillId="6" borderId="5" xfId="0" applyNumberFormat="1" applyFont="1" applyFill="1" applyBorder="1" applyAlignment="1">
      <alignment horizontal="center" vertical="center"/>
    </xf>
    <xf numFmtId="0" fontId="54" fillId="4" borderId="0" xfId="0" applyNumberFormat="1" applyFont="1" applyFill="1" applyBorder="1" applyAlignment="1">
      <alignment horizontal="right" vertical="center"/>
    </xf>
    <xf numFmtId="164" fontId="6" fillId="0" borderId="25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5" fontId="7" fillId="0" borderId="70" xfId="0" applyNumberFormat="1" applyFont="1" applyFill="1" applyBorder="1" applyAlignment="1">
      <alignment horizontal="center" vertical="center" wrapText="1"/>
    </xf>
    <xf numFmtId="165" fontId="5" fillId="0" borderId="73" xfId="0" applyNumberFormat="1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left" vertical="center"/>
    </xf>
    <xf numFmtId="0" fontId="7" fillId="5" borderId="27" xfId="0" applyFont="1" applyFill="1" applyBorder="1">
      <alignment vertical="center"/>
    </xf>
    <xf numFmtId="0" fontId="7" fillId="5" borderId="28" xfId="0" applyFont="1" applyFill="1" applyBorder="1">
      <alignment vertical="center"/>
    </xf>
    <xf numFmtId="0" fontId="1" fillId="5" borderId="28" xfId="0" applyFont="1" applyFill="1" applyBorder="1">
      <alignment vertical="center"/>
    </xf>
    <xf numFmtId="49" fontId="19" fillId="0" borderId="23" xfId="0" applyNumberFormat="1" applyFont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5" fillId="4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5" fillId="2" borderId="74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23" fillId="0" borderId="0" xfId="0" applyFont="1" applyFill="1" applyAlignment="1"/>
    <xf numFmtId="0" fontId="24" fillId="0" borderId="0" xfId="0" applyFont="1">
      <alignment vertical="center"/>
    </xf>
    <xf numFmtId="0" fontId="25" fillId="0" borderId="0" xfId="0" applyNumberFormat="1" applyFont="1" applyFill="1" applyBorder="1" applyAlignment="1"/>
    <xf numFmtId="0" fontId="26" fillId="0" borderId="0" xfId="0" applyNumberFormat="1" applyFont="1" applyFill="1" applyBorder="1" applyAlignment="1"/>
    <xf numFmtId="0" fontId="27" fillId="0" borderId="0" xfId="0" applyNumberFormat="1" applyFont="1" applyFill="1" applyBorder="1" applyAlignment="1">
      <alignment vertical="center"/>
    </xf>
    <xf numFmtId="0" fontId="57" fillId="0" borderId="0" xfId="0" applyNumberFormat="1" applyFont="1" applyFill="1" applyBorder="1" applyAlignment="1">
      <alignment horizontal="right" vertical="center"/>
    </xf>
    <xf numFmtId="0" fontId="58" fillId="0" borderId="0" xfId="0" applyFont="1" applyFill="1" applyBorder="1" applyAlignment="1"/>
    <xf numFmtId="0" fontId="59" fillId="0" borderId="0" xfId="0" applyFont="1" applyFill="1" applyBorder="1" applyAlignment="1">
      <alignment horizontal="right"/>
    </xf>
    <xf numFmtId="0" fontId="28" fillId="0" borderId="0" xfId="0" applyFont="1" applyFill="1" applyBorder="1" applyAlignment="1">
      <alignment vertical="center"/>
    </xf>
    <xf numFmtId="0" fontId="59" fillId="0" borderId="0" xfId="0" applyFont="1" applyFill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7" fillId="2" borderId="75" xfId="0" applyNumberFormat="1" applyFont="1" applyFill="1" applyBorder="1" applyAlignment="1">
      <alignment horizontal="center" vertical="center"/>
    </xf>
    <xf numFmtId="0" fontId="7" fillId="2" borderId="76" xfId="0" applyNumberFormat="1" applyFont="1" applyFill="1" applyBorder="1" applyAlignment="1">
      <alignment horizontal="center" vertical="center"/>
    </xf>
    <xf numFmtId="0" fontId="30" fillId="0" borderId="4" xfId="0" applyNumberFormat="1" applyFont="1" applyFill="1" applyBorder="1" applyAlignment="1">
      <alignment horizontal="center" vertical="center"/>
    </xf>
    <xf numFmtId="0" fontId="6" fillId="0" borderId="25" xfId="0" applyNumberFormat="1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8" fillId="2" borderId="77" xfId="0" applyNumberFormat="1" applyFont="1" applyFill="1" applyBorder="1" applyAlignment="1">
      <alignment horizontal="center" vertical="center"/>
    </xf>
    <xf numFmtId="0" fontId="46" fillId="0" borderId="78" xfId="0" applyNumberFormat="1" applyFont="1" applyFill="1" applyBorder="1" applyAlignment="1">
      <alignment horizontal="center" vertical="center"/>
    </xf>
    <xf numFmtId="0" fontId="50" fillId="0" borderId="0" xfId="0" applyNumberFormat="1" applyFont="1" applyFill="1" applyAlignment="1">
      <alignment horizontal="center" vertical="center"/>
    </xf>
    <xf numFmtId="0" fontId="5" fillId="5" borderId="26" xfId="0" applyFont="1" applyFill="1" applyBorder="1" applyAlignment="1">
      <alignment horizontal="center" vertical="center" wrapText="1"/>
    </xf>
    <xf numFmtId="0" fontId="51" fillId="5" borderId="20" xfId="0" applyFont="1" applyFill="1" applyBorder="1" applyAlignment="1">
      <alignment horizontal="left" vertical="center"/>
    </xf>
    <xf numFmtId="0" fontId="50" fillId="0" borderId="0" xfId="0" applyNumberFormat="1" applyFont="1" applyFill="1" applyAlignment="1">
      <alignment horizontal="left" vertical="center"/>
    </xf>
    <xf numFmtId="0" fontId="60" fillId="0" borderId="0" xfId="0" applyFont="1" applyAlignment="1">
      <alignment horizontal="right" vertical="center"/>
    </xf>
    <xf numFmtId="0" fontId="61" fillId="0" borderId="0" xfId="0" applyNumberFormat="1" applyFont="1" applyFill="1" applyAlignment="1">
      <alignment horizontal="center" vertical="center"/>
    </xf>
    <xf numFmtId="0" fontId="53" fillId="4" borderId="0" xfId="0" applyNumberFormat="1" applyFont="1" applyFill="1" applyBorder="1" applyAlignment="1">
      <alignment horizontal="right" vertical="center"/>
    </xf>
    <xf numFmtId="0" fontId="30" fillId="2" borderId="60" xfId="0" applyNumberFormat="1" applyFont="1" applyFill="1" applyBorder="1" applyAlignment="1">
      <alignment horizontal="center" vertical="center" wrapText="1"/>
    </xf>
    <xf numFmtId="0" fontId="30" fillId="2" borderId="31" xfId="0" applyNumberFormat="1" applyFont="1" applyFill="1" applyBorder="1" applyAlignment="1">
      <alignment horizontal="center" vertical="center" wrapText="1"/>
    </xf>
    <xf numFmtId="0" fontId="50" fillId="0" borderId="69" xfId="0" applyNumberFormat="1" applyFont="1" applyFill="1" applyBorder="1" applyAlignment="1">
      <alignment horizontal="center" vertical="center" wrapText="1"/>
    </xf>
    <xf numFmtId="166" fontId="6" fillId="0" borderId="25" xfId="0" applyNumberFormat="1" applyFont="1" applyFill="1" applyBorder="1" applyAlignment="1">
      <alignment horizontal="center" vertical="center"/>
    </xf>
    <xf numFmtId="0" fontId="51" fillId="5" borderId="16" xfId="0" applyFont="1" applyFill="1" applyBorder="1">
      <alignment vertical="center"/>
    </xf>
    <xf numFmtId="0" fontId="51" fillId="5" borderId="18" xfId="0" applyFont="1" applyFill="1" applyBorder="1">
      <alignment vertical="center"/>
    </xf>
    <xf numFmtId="2" fontId="31" fillId="0" borderId="23" xfId="0" applyNumberFormat="1" applyFont="1" applyBorder="1" applyAlignment="1">
      <alignment horizontal="center" vertical="center" wrapText="1"/>
    </xf>
    <xf numFmtId="0" fontId="5" fillId="2" borderId="32" xfId="0" applyNumberFormat="1" applyFont="1" applyFill="1" applyBorder="1" applyAlignment="1">
      <alignment horizontal="center" vertical="center"/>
    </xf>
    <xf numFmtId="0" fontId="8" fillId="2" borderId="8" xfId="0" applyNumberFormat="1" applyFont="1" applyFill="1" applyBorder="1" applyAlignment="1">
      <alignment horizontal="center" vertical="center"/>
    </xf>
    <xf numFmtId="0" fontId="46" fillId="0" borderId="79" xfId="0" applyNumberFormat="1" applyFont="1" applyFill="1" applyBorder="1" applyAlignment="1">
      <alignment horizontal="center" vertical="center"/>
    </xf>
    <xf numFmtId="2" fontId="18" fillId="0" borderId="23" xfId="0" applyNumberFormat="1" applyFont="1" applyBorder="1" applyAlignment="1">
      <alignment horizontal="center" vertical="center"/>
    </xf>
    <xf numFmtId="0" fontId="50" fillId="0" borderId="63" xfId="0" applyNumberFormat="1" applyFont="1" applyFill="1" applyBorder="1" applyAlignment="1">
      <alignment horizontal="center" vertical="center"/>
    </xf>
    <xf numFmtId="0" fontId="50" fillId="0" borderId="69" xfId="0" applyNumberFormat="1" applyFont="1" applyFill="1" applyBorder="1" applyAlignment="1">
      <alignment horizontal="center" vertical="center"/>
    </xf>
    <xf numFmtId="0" fontId="5" fillId="2" borderId="33" xfId="0" applyNumberFormat="1" applyFont="1" applyFill="1" applyBorder="1" applyAlignment="1">
      <alignment horizontal="center" vertical="center" wrapText="1"/>
    </xf>
    <xf numFmtId="0" fontId="45" fillId="4" borderId="0" xfId="0" applyNumberFormat="1" applyFont="1" applyFill="1" applyBorder="1" applyAlignment="1">
      <alignment vertical="center"/>
    </xf>
    <xf numFmtId="0" fontId="34" fillId="0" borderId="0" xfId="0" applyFont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7" fillId="2" borderId="31" xfId="0" applyNumberFormat="1" applyFont="1" applyFill="1" applyBorder="1" applyAlignment="1">
      <alignment horizontal="center" vertical="center"/>
    </xf>
    <xf numFmtId="0" fontId="5" fillId="7" borderId="4" xfId="0" applyNumberFormat="1" applyFont="1" applyFill="1" applyBorder="1" applyAlignment="1">
      <alignment horizontal="center" vertical="center"/>
    </xf>
    <xf numFmtId="0" fontId="6" fillId="7" borderId="5" xfId="0" applyNumberFormat="1" applyFont="1" applyFill="1" applyBorder="1" applyAlignment="1">
      <alignment horizontal="center" vertical="center"/>
    </xf>
    <xf numFmtId="0" fontId="6" fillId="7" borderId="6" xfId="0" applyNumberFormat="1" applyFont="1" applyFill="1" applyBorder="1" applyAlignment="1">
      <alignment horizontal="center" vertical="center"/>
    </xf>
    <xf numFmtId="0" fontId="6" fillId="7" borderId="25" xfId="0" applyNumberFormat="1" applyFont="1" applyFill="1" applyBorder="1" applyAlignment="1">
      <alignment horizontal="center" vertical="center"/>
    </xf>
    <xf numFmtId="0" fontId="6" fillId="7" borderId="56" xfId="0" applyNumberFormat="1" applyFont="1" applyFill="1" applyBorder="1" applyAlignment="1">
      <alignment horizontal="center" vertical="center"/>
    </xf>
    <xf numFmtId="0" fontId="6" fillId="7" borderId="57" xfId="0" applyNumberFormat="1" applyFont="1" applyFill="1" applyBorder="1" applyAlignment="1">
      <alignment horizontal="center" vertical="center"/>
    </xf>
    <xf numFmtId="0" fontId="6" fillId="7" borderId="64" xfId="0" applyNumberFormat="1" applyFont="1" applyFill="1" applyBorder="1" applyAlignment="1">
      <alignment horizontal="center" vertical="center"/>
    </xf>
    <xf numFmtId="0" fontId="6" fillId="7" borderId="65" xfId="0" applyNumberFormat="1" applyFont="1" applyFill="1" applyBorder="1" applyAlignment="1">
      <alignment horizontal="center" vertical="center"/>
    </xf>
    <xf numFmtId="164" fontId="6" fillId="7" borderId="66" xfId="0" applyNumberFormat="1" applyFont="1" applyFill="1" applyBorder="1" applyAlignment="1">
      <alignment horizontal="center" vertical="center"/>
    </xf>
    <xf numFmtId="0" fontId="5" fillId="5" borderId="4" xfId="0" applyNumberFormat="1" applyFont="1" applyFill="1" applyBorder="1" applyAlignment="1">
      <alignment horizontal="center" vertical="center"/>
    </xf>
    <xf numFmtId="0" fontId="6" fillId="5" borderId="5" xfId="0" applyNumberFormat="1" applyFont="1" applyFill="1" applyBorder="1" applyAlignment="1">
      <alignment horizontal="center" vertical="center"/>
    </xf>
    <xf numFmtId="0" fontId="6" fillId="5" borderId="6" xfId="0" applyNumberFormat="1" applyFont="1" applyFill="1" applyBorder="1" applyAlignment="1">
      <alignment horizontal="center" vertical="center"/>
    </xf>
    <xf numFmtId="0" fontId="6" fillId="5" borderId="25" xfId="0" applyNumberFormat="1" applyFont="1" applyFill="1" applyBorder="1" applyAlignment="1">
      <alignment horizontal="center" vertical="center"/>
    </xf>
    <xf numFmtId="0" fontId="6" fillId="5" borderId="56" xfId="0" applyNumberFormat="1" applyFont="1" applyFill="1" applyBorder="1" applyAlignment="1">
      <alignment horizontal="center" vertical="center"/>
    </xf>
    <xf numFmtId="0" fontId="6" fillId="5" borderId="57" xfId="0" applyNumberFormat="1" applyFont="1" applyFill="1" applyBorder="1" applyAlignment="1">
      <alignment horizontal="center" vertical="center"/>
    </xf>
    <xf numFmtId="0" fontId="6" fillId="5" borderId="64" xfId="0" applyNumberFormat="1" applyFont="1" applyFill="1" applyBorder="1" applyAlignment="1">
      <alignment horizontal="center" vertical="center"/>
    </xf>
    <xf numFmtId="0" fontId="6" fillId="5" borderId="65" xfId="0" applyNumberFormat="1" applyFont="1" applyFill="1" applyBorder="1" applyAlignment="1">
      <alignment horizontal="center" vertical="center"/>
    </xf>
    <xf numFmtId="164" fontId="6" fillId="5" borderId="66" xfId="0" applyNumberFormat="1" applyFont="1" applyFill="1" applyBorder="1" applyAlignment="1">
      <alignment horizontal="center" vertical="center"/>
    </xf>
    <xf numFmtId="0" fontId="53" fillId="6" borderId="0" xfId="0" applyNumberFormat="1" applyFont="1" applyFill="1" applyBorder="1" applyAlignment="1">
      <alignment vertical="center"/>
    </xf>
    <xf numFmtId="2" fontId="35" fillId="0" borderId="23" xfId="0" applyNumberFormat="1" applyFont="1" applyBorder="1" applyAlignment="1">
      <alignment horizontal="center" vertical="center" wrapText="1"/>
    </xf>
    <xf numFmtId="0" fontId="5" fillId="8" borderId="4" xfId="0" applyNumberFormat="1" applyFont="1" applyFill="1" applyBorder="1" applyAlignment="1">
      <alignment horizontal="center" vertical="center"/>
    </xf>
    <xf numFmtId="0" fontId="6" fillId="0" borderId="80" xfId="0" applyNumberFormat="1" applyFont="1" applyFill="1" applyBorder="1" applyAlignment="1">
      <alignment horizontal="center" vertical="center"/>
    </xf>
    <xf numFmtId="0" fontId="5" fillId="9" borderId="4" xfId="0" applyNumberFormat="1" applyFont="1" applyFill="1" applyBorder="1" applyAlignment="1">
      <alignment horizontal="center" vertical="center"/>
    </xf>
    <xf numFmtId="0" fontId="6" fillId="9" borderId="5" xfId="0" applyNumberFormat="1" applyFont="1" applyFill="1" applyBorder="1" applyAlignment="1">
      <alignment horizontal="center" vertical="center"/>
    </xf>
    <xf numFmtId="0" fontId="6" fillId="9" borderId="6" xfId="0" applyNumberFormat="1" applyFont="1" applyFill="1" applyBorder="1" applyAlignment="1">
      <alignment horizontal="center" vertical="center"/>
    </xf>
    <xf numFmtId="0" fontId="6" fillId="9" borderId="56" xfId="0" applyNumberFormat="1" applyFont="1" applyFill="1" applyBorder="1" applyAlignment="1">
      <alignment horizontal="center" vertical="center"/>
    </xf>
    <xf numFmtId="0" fontId="6" fillId="9" borderId="57" xfId="0" applyNumberFormat="1" applyFont="1" applyFill="1" applyBorder="1" applyAlignment="1">
      <alignment horizontal="center" vertical="center"/>
    </xf>
    <xf numFmtId="0" fontId="6" fillId="9" borderId="64" xfId="0" applyNumberFormat="1" applyFont="1" applyFill="1" applyBorder="1" applyAlignment="1">
      <alignment horizontal="center" vertical="center"/>
    </xf>
    <xf numFmtId="0" fontId="6" fillId="9" borderId="65" xfId="0" applyNumberFormat="1" applyFont="1" applyFill="1" applyBorder="1" applyAlignment="1">
      <alignment horizontal="center" vertical="center"/>
    </xf>
    <xf numFmtId="164" fontId="6" fillId="9" borderId="68" xfId="0" applyNumberFormat="1" applyFont="1" applyFill="1" applyBorder="1" applyAlignment="1">
      <alignment horizontal="center" vertical="center"/>
    </xf>
    <xf numFmtId="165" fontId="7" fillId="9" borderId="70" xfId="0" applyNumberFormat="1" applyFont="1" applyFill="1" applyBorder="1" applyAlignment="1">
      <alignment horizontal="center" vertical="center" wrapText="1"/>
    </xf>
    <xf numFmtId="0" fontId="5" fillId="2" borderId="81" xfId="0" applyNumberFormat="1" applyFont="1" applyFill="1" applyBorder="1" applyAlignment="1">
      <alignment horizontal="center" vertical="center"/>
    </xf>
    <xf numFmtId="164" fontId="6" fillId="0" borderId="82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5" borderId="21" xfId="0" applyFont="1" applyFill="1" applyBorder="1" applyAlignment="1">
      <alignment horizontal="left" vertical="center"/>
    </xf>
    <xf numFmtId="0" fontId="7" fillId="5" borderId="34" xfId="0" applyFont="1" applyFill="1" applyBorder="1">
      <alignment vertical="center"/>
    </xf>
    <xf numFmtId="0" fontId="7" fillId="5" borderId="25" xfId="0" applyFont="1" applyFill="1" applyBorder="1">
      <alignment vertical="center"/>
    </xf>
    <xf numFmtId="0" fontId="1" fillId="5" borderId="25" xfId="0" applyFont="1" applyFill="1" applyBorder="1">
      <alignment vertical="center"/>
    </xf>
    <xf numFmtId="165" fontId="5" fillId="0" borderId="83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0" fontId="5" fillId="2" borderId="21" xfId="0" applyNumberFormat="1" applyFont="1" applyFill="1" applyBorder="1" applyAlignment="1">
      <alignment horizontal="center" vertical="center"/>
    </xf>
    <xf numFmtId="0" fontId="38" fillId="0" borderId="23" xfId="0" applyFont="1" applyFill="1" applyBorder="1" applyAlignment="1">
      <alignment horizontal="center" vertical="center"/>
    </xf>
    <xf numFmtId="0" fontId="38" fillId="0" borderId="35" xfId="0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164" fontId="6" fillId="0" borderId="82" xfId="0" applyNumberFormat="1" applyFont="1" applyFill="1" applyBorder="1" applyAlignment="1">
      <alignment horizontal="center" vertical="center" wrapText="1"/>
    </xf>
    <xf numFmtId="2" fontId="62" fillId="0" borderId="82" xfId="0" applyNumberFormat="1" applyFont="1" applyBorder="1" applyAlignment="1">
      <alignment horizontal="center" vertical="center" wrapText="1"/>
    </xf>
    <xf numFmtId="0" fontId="51" fillId="0" borderId="4" xfId="0" applyNumberFormat="1" applyFont="1" applyFill="1" applyBorder="1" applyAlignment="1">
      <alignment horizontal="center" vertical="center"/>
    </xf>
    <xf numFmtId="0" fontId="63" fillId="0" borderId="5" xfId="0" applyNumberFormat="1" applyFont="1" applyFill="1" applyBorder="1" applyAlignment="1">
      <alignment horizontal="center" vertical="center"/>
    </xf>
    <xf numFmtId="0" fontId="63" fillId="0" borderId="6" xfId="0" applyNumberFormat="1" applyFont="1" applyFill="1" applyBorder="1" applyAlignment="1">
      <alignment horizontal="center" vertical="center"/>
    </xf>
    <xf numFmtId="0" fontId="63" fillId="0" borderId="56" xfId="0" applyNumberFormat="1" applyFont="1" applyFill="1" applyBorder="1" applyAlignment="1">
      <alignment horizontal="center" vertical="center"/>
    </xf>
    <xf numFmtId="0" fontId="63" fillId="0" borderId="57" xfId="0" applyNumberFormat="1" applyFont="1" applyFill="1" applyBorder="1" applyAlignment="1">
      <alignment horizontal="center" vertical="center"/>
    </xf>
    <xf numFmtId="0" fontId="63" fillId="0" borderId="64" xfId="0" applyNumberFormat="1" applyFont="1" applyFill="1" applyBorder="1" applyAlignment="1">
      <alignment horizontal="center" vertical="center"/>
    </xf>
    <xf numFmtId="0" fontId="63" fillId="0" borderId="65" xfId="0" applyNumberFormat="1" applyFont="1" applyFill="1" applyBorder="1" applyAlignment="1">
      <alignment horizontal="center" vertical="center"/>
    </xf>
    <xf numFmtId="164" fontId="63" fillId="0" borderId="68" xfId="0" applyNumberFormat="1" applyFont="1" applyFill="1" applyBorder="1" applyAlignment="1">
      <alignment horizontal="center" vertical="center"/>
    </xf>
    <xf numFmtId="165" fontId="51" fillId="0" borderId="67" xfId="0" applyNumberFormat="1" applyFont="1" applyFill="1" applyBorder="1" applyAlignment="1">
      <alignment horizontal="center" vertical="center"/>
    </xf>
    <xf numFmtId="0" fontId="64" fillId="0" borderId="0" xfId="0" applyFont="1">
      <alignment vertical="center"/>
    </xf>
    <xf numFmtId="0" fontId="65" fillId="0" borderId="36" xfId="0" applyFont="1" applyBorder="1" applyAlignment="1">
      <alignment horizontal="center" vertical="center" wrapText="1"/>
    </xf>
    <xf numFmtId="2" fontId="0" fillId="0" borderId="0" xfId="0" applyNumberFormat="1" applyAlignment="1">
      <alignment vertical="center"/>
    </xf>
    <xf numFmtId="0" fontId="39" fillId="0" borderId="0" xfId="0" applyFont="1">
      <alignment vertical="center"/>
    </xf>
    <xf numFmtId="2" fontId="39" fillId="0" borderId="0" xfId="0" applyNumberFormat="1" applyFont="1" applyAlignment="1">
      <alignment horizontal="center" vertical="center"/>
    </xf>
    <xf numFmtId="2" fontId="17" fillId="0" borderId="84" xfId="0" applyNumberFormat="1" applyFont="1" applyBorder="1" applyAlignment="1">
      <alignment horizontal="center" vertical="center"/>
    </xf>
    <xf numFmtId="2" fontId="17" fillId="0" borderId="85" xfId="0" applyNumberFormat="1" applyFont="1" applyBorder="1" applyAlignment="1">
      <alignment horizontal="center" vertical="center"/>
    </xf>
    <xf numFmtId="2" fontId="17" fillId="0" borderId="86" xfId="0" applyNumberFormat="1" applyFont="1" applyBorder="1" applyAlignment="1">
      <alignment horizontal="center" vertical="center"/>
    </xf>
    <xf numFmtId="2" fontId="17" fillId="0" borderId="87" xfId="0" applyNumberFormat="1" applyFont="1" applyBorder="1" applyAlignment="1">
      <alignment horizontal="center" vertical="center"/>
    </xf>
    <xf numFmtId="2" fontId="62" fillId="0" borderId="0" xfId="0" applyNumberFormat="1" applyFont="1" applyBorder="1" applyAlignment="1">
      <alignment horizontal="center" vertical="center" wrapText="1"/>
    </xf>
    <xf numFmtId="2" fontId="17" fillId="0" borderId="82" xfId="0" applyNumberFormat="1" applyFont="1" applyBorder="1" applyAlignment="1">
      <alignment horizontal="center" vertical="center"/>
    </xf>
    <xf numFmtId="0" fontId="51" fillId="2" borderId="29" xfId="0" applyNumberFormat="1" applyFont="1" applyFill="1" applyBorder="1" applyAlignment="1">
      <alignment horizontal="center" vertical="center"/>
    </xf>
    <xf numFmtId="0" fontId="18" fillId="2" borderId="29" xfId="0" applyNumberFormat="1" applyFont="1" applyFill="1" applyBorder="1" applyAlignment="1">
      <alignment horizontal="center" vertical="center"/>
    </xf>
    <xf numFmtId="2" fontId="40" fillId="2" borderId="21" xfId="0" applyNumberFormat="1" applyFont="1" applyFill="1" applyBorder="1" applyAlignment="1">
      <alignment horizontal="center" vertical="center"/>
    </xf>
    <xf numFmtId="2" fontId="31" fillId="0" borderId="21" xfId="0" applyNumberFormat="1" applyFont="1" applyFill="1" applyBorder="1" applyAlignment="1">
      <alignment horizontal="center" vertical="center"/>
    </xf>
    <xf numFmtId="2" fontId="17" fillId="0" borderId="88" xfId="0" applyNumberFormat="1" applyFont="1" applyBorder="1" applyAlignment="1">
      <alignment horizontal="center" vertical="center"/>
    </xf>
    <xf numFmtId="2" fontId="66" fillId="0" borderId="2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2" fontId="67" fillId="0" borderId="23" xfId="0" applyNumberFormat="1" applyFont="1" applyBorder="1" applyAlignment="1">
      <alignment horizontal="center" vertical="center" wrapText="1"/>
    </xf>
    <xf numFmtId="2" fontId="68" fillId="0" borderId="23" xfId="0" applyNumberFormat="1" applyFont="1" applyBorder="1" applyAlignment="1">
      <alignment horizontal="center" vertical="center" wrapText="1"/>
    </xf>
    <xf numFmtId="2" fontId="69" fillId="6" borderId="23" xfId="0" applyNumberFormat="1" applyFont="1" applyFill="1" applyBorder="1" applyAlignment="1">
      <alignment horizontal="center" vertical="center" wrapText="1"/>
    </xf>
    <xf numFmtId="2" fontId="35" fillId="0" borderId="0" xfId="0" applyNumberFormat="1" applyFont="1" applyAlignment="1">
      <alignment horizontal="center" vertical="center"/>
    </xf>
    <xf numFmtId="0" fontId="45" fillId="4" borderId="0" xfId="0" applyNumberFormat="1" applyFont="1" applyFill="1" applyBorder="1" applyAlignment="1">
      <alignment vertical="center"/>
    </xf>
    <xf numFmtId="2" fontId="65" fillId="0" borderId="89" xfId="0" applyNumberFormat="1" applyFont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left" vertical="center" wrapText="1"/>
    </xf>
    <xf numFmtId="2" fontId="5" fillId="0" borderId="67" xfId="0" applyNumberFormat="1" applyFont="1" applyFill="1" applyBorder="1" applyAlignment="1">
      <alignment horizontal="center" vertical="center"/>
    </xf>
    <xf numFmtId="2" fontId="5" fillId="0" borderId="1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18" fillId="0" borderId="23" xfId="0" applyNumberFormat="1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103" xfId="0" applyFont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5" fillId="2" borderId="37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90" xfId="0" applyNumberFormat="1" applyFont="1" applyFill="1" applyBorder="1" applyAlignment="1">
      <alignment horizontal="center" vertical="center"/>
    </xf>
    <xf numFmtId="0" fontId="5" fillId="2" borderId="83" xfId="0" applyNumberFormat="1" applyFont="1" applyFill="1" applyBorder="1" applyAlignment="1">
      <alignment horizontal="center" vertical="center"/>
    </xf>
    <xf numFmtId="0" fontId="5" fillId="2" borderId="33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5" fillId="2" borderId="91" xfId="0" applyNumberFormat="1" applyFont="1" applyFill="1" applyBorder="1" applyAlignment="1">
      <alignment horizontal="center" vertical="center"/>
    </xf>
    <xf numFmtId="0" fontId="8" fillId="2" borderId="92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/>
    </xf>
    <xf numFmtId="0" fontId="5" fillId="2" borderId="93" xfId="0" applyNumberFormat="1" applyFont="1" applyFill="1" applyBorder="1" applyAlignment="1">
      <alignment horizontal="center" vertical="center"/>
    </xf>
    <xf numFmtId="0" fontId="8" fillId="2" borderId="70" xfId="0" applyNumberFormat="1" applyFont="1" applyFill="1" applyBorder="1" applyAlignment="1">
      <alignment horizontal="center" vertical="center"/>
    </xf>
    <xf numFmtId="0" fontId="5" fillId="2" borderId="30" xfId="0" applyNumberFormat="1" applyFont="1" applyFill="1" applyBorder="1" applyAlignment="1">
      <alignment horizontal="center" vertical="center"/>
    </xf>
    <xf numFmtId="0" fontId="5" fillId="2" borderId="29" xfId="0" applyNumberFormat="1" applyFont="1" applyFill="1" applyBorder="1" applyAlignment="1">
      <alignment horizontal="center" vertical="center" wrapText="1"/>
    </xf>
    <xf numFmtId="0" fontId="5" fillId="2" borderId="37" xfId="0" applyNumberFormat="1" applyFont="1" applyFill="1" applyBorder="1" applyAlignment="1">
      <alignment horizontal="center" vertical="center" wrapText="1"/>
    </xf>
    <xf numFmtId="0" fontId="5" fillId="2" borderId="94" xfId="0" applyNumberFormat="1" applyFont="1" applyFill="1" applyBorder="1" applyAlignment="1">
      <alignment horizontal="center" vertical="center"/>
    </xf>
    <xf numFmtId="0" fontId="5" fillId="2" borderId="95" xfId="0" applyNumberFormat="1" applyFont="1" applyFill="1" applyBorder="1" applyAlignment="1">
      <alignment horizontal="center" vertical="center"/>
    </xf>
    <xf numFmtId="0" fontId="45" fillId="4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5" borderId="16" xfId="0" applyFont="1" applyFill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7" fillId="5" borderId="38" xfId="0" applyFont="1" applyFill="1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7" fillId="5" borderId="16" xfId="0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2" fontId="18" fillId="0" borderId="40" xfId="0" applyNumberFormat="1" applyFont="1" applyBorder="1" applyAlignment="1">
      <alignment horizontal="center" vertical="center" wrapText="1"/>
    </xf>
    <xf numFmtId="2" fontId="18" fillId="0" borderId="41" xfId="0" applyNumberFormat="1" applyFont="1" applyBorder="1" applyAlignment="1">
      <alignment horizontal="center" vertical="center" wrapText="1"/>
    </xf>
    <xf numFmtId="2" fontId="18" fillId="0" borderId="42" xfId="0" applyNumberFormat="1" applyFont="1" applyBorder="1" applyAlignment="1">
      <alignment horizontal="center" vertical="center" wrapText="1"/>
    </xf>
    <xf numFmtId="2" fontId="18" fillId="0" borderId="43" xfId="0" applyNumberFormat="1" applyFont="1" applyBorder="1" applyAlignment="1">
      <alignment horizontal="center" vertical="center" wrapText="1"/>
    </xf>
    <xf numFmtId="2" fontId="18" fillId="0" borderId="44" xfId="0" applyNumberFormat="1" applyFont="1" applyBorder="1" applyAlignment="1">
      <alignment horizontal="center" vertical="center" wrapText="1"/>
    </xf>
    <xf numFmtId="2" fontId="18" fillId="0" borderId="45" xfId="0" applyNumberFormat="1" applyFont="1" applyBorder="1" applyAlignment="1">
      <alignment horizontal="center" vertical="center" wrapText="1"/>
    </xf>
    <xf numFmtId="0" fontId="53" fillId="4" borderId="0" xfId="0" applyNumberFormat="1" applyFont="1" applyFill="1" applyBorder="1" applyAlignment="1">
      <alignment vertical="center" wrapText="1"/>
    </xf>
    <xf numFmtId="0" fontId="41" fillId="0" borderId="0" xfId="0" applyFont="1" applyAlignment="1">
      <alignment vertical="center" wrapText="1"/>
    </xf>
    <xf numFmtId="2" fontId="18" fillId="0" borderId="46" xfId="0" applyNumberFormat="1" applyFont="1" applyBorder="1" applyAlignment="1">
      <alignment horizontal="center" vertical="center" wrapText="1"/>
    </xf>
    <xf numFmtId="2" fontId="18" fillId="0" borderId="47" xfId="0" applyNumberFormat="1" applyFont="1" applyBorder="1" applyAlignment="1">
      <alignment horizontal="center" vertical="center" wrapText="1"/>
    </xf>
    <xf numFmtId="0" fontId="55" fillId="4" borderId="0" xfId="0" applyNumberFormat="1" applyFont="1" applyFill="1" applyBorder="1" applyAlignment="1">
      <alignment vertical="center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5" fillId="2" borderId="74" xfId="0" applyNumberFormat="1" applyFont="1" applyFill="1" applyBorder="1" applyAlignment="1">
      <alignment horizontal="center" vertical="center"/>
    </xf>
    <xf numFmtId="0" fontId="8" fillId="2" borderId="77" xfId="0" applyNumberFormat="1" applyFont="1" applyFill="1" applyBorder="1" applyAlignment="1">
      <alignment horizontal="center" vertical="center"/>
    </xf>
    <xf numFmtId="2" fontId="17" fillId="0" borderId="40" xfId="0" applyNumberFormat="1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8" fillId="2" borderId="96" xfId="0" applyNumberFormat="1" applyFont="1" applyFill="1" applyBorder="1" applyAlignment="1">
      <alignment horizontal="center" vertical="center"/>
    </xf>
    <xf numFmtId="0" fontId="36" fillId="0" borderId="31" xfId="0" applyFont="1" applyFill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18" fillId="0" borderId="89" xfId="0" applyFont="1" applyBorder="1" applyAlignment="1">
      <alignment horizontal="center" vertical="center"/>
    </xf>
    <xf numFmtId="0" fontId="18" fillId="0" borderId="77" xfId="0" applyFont="1" applyBorder="1" applyAlignment="1">
      <alignment horizontal="center" vertical="center"/>
    </xf>
    <xf numFmtId="0" fontId="18" fillId="0" borderId="78" xfId="0" applyFont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2" borderId="0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2" borderId="0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/>
    </xf>
    <xf numFmtId="2" fontId="17" fillId="0" borderId="23" xfId="0" applyNumberFormat="1" applyFont="1" applyBorder="1" applyAlignment="1">
      <alignment horizontal="center" vertical="center"/>
    </xf>
    <xf numFmtId="2" fontId="5" fillId="0" borderId="36" xfId="0" applyNumberFormat="1" applyFont="1" applyFill="1" applyBorder="1" applyAlignment="1">
      <alignment horizontal="center" vertical="center"/>
    </xf>
    <xf numFmtId="2" fontId="5" fillId="0" borderId="49" xfId="0" applyNumberFormat="1" applyFont="1" applyFill="1" applyBorder="1" applyAlignment="1">
      <alignment horizontal="center" vertical="center"/>
    </xf>
    <xf numFmtId="2" fontId="5" fillId="0" borderId="35" xfId="0" applyNumberFormat="1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7" fillId="5" borderId="13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5" fillId="2" borderId="97" xfId="0" applyNumberFormat="1" applyFont="1" applyFill="1" applyBorder="1" applyAlignment="1">
      <alignment horizontal="center" vertical="center"/>
    </xf>
    <xf numFmtId="0" fontId="5" fillId="2" borderId="69" xfId="0" applyNumberFormat="1" applyFont="1" applyFill="1" applyBorder="1" applyAlignment="1">
      <alignment horizontal="center" vertical="center"/>
    </xf>
    <xf numFmtId="0" fontId="0" fillId="0" borderId="49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65" fillId="0" borderId="36" xfId="0" applyFont="1" applyBorder="1" applyAlignment="1">
      <alignment horizontal="center" vertical="center" wrapText="1"/>
    </xf>
    <xf numFmtId="0" fontId="70" fillId="0" borderId="49" xfId="0" applyFont="1" applyBorder="1" applyAlignment="1">
      <alignment horizontal="center" vertical="center" wrapText="1"/>
    </xf>
    <xf numFmtId="2" fontId="65" fillId="0" borderId="98" xfId="0" applyNumberFormat="1" applyFont="1" applyBorder="1" applyAlignment="1">
      <alignment horizontal="center" vertical="center" wrapText="1"/>
    </xf>
    <xf numFmtId="0" fontId="70" fillId="0" borderId="99" xfId="0" applyFont="1" applyBorder="1" applyAlignment="1">
      <alignment horizontal="center" vertical="center" wrapText="1"/>
    </xf>
    <xf numFmtId="0" fontId="70" fillId="0" borderId="83" xfId="0" applyFont="1" applyBorder="1" applyAlignment="1">
      <alignment horizontal="center" vertical="center" wrapText="1"/>
    </xf>
    <xf numFmtId="0" fontId="70" fillId="0" borderId="95" xfId="0" applyFont="1" applyBorder="1" applyAlignment="1">
      <alignment horizontal="center" vertical="center" wrapText="1"/>
    </xf>
    <xf numFmtId="0" fontId="70" fillId="0" borderId="100" xfId="0" applyFont="1" applyBorder="1" applyAlignment="1">
      <alignment horizontal="center" vertical="center" wrapText="1"/>
    </xf>
    <xf numFmtId="0" fontId="70" fillId="0" borderId="101" xfId="0" applyFont="1" applyBorder="1" applyAlignment="1">
      <alignment horizontal="center" vertical="center" wrapText="1"/>
    </xf>
    <xf numFmtId="2" fontId="65" fillId="0" borderId="89" xfId="0" applyNumberFormat="1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2" fontId="65" fillId="9" borderId="89" xfId="0" applyNumberFormat="1" applyFont="1" applyFill="1" applyBorder="1" applyAlignment="1">
      <alignment horizontal="center" vertical="center" wrapText="1"/>
    </xf>
    <xf numFmtId="0" fontId="70" fillId="9" borderId="77" xfId="0" applyFont="1" applyFill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36" xfId="0" applyFont="1" applyBorder="1" applyAlignment="1">
      <alignment horizontal="center" vertical="center" wrapText="1"/>
    </xf>
    <xf numFmtId="0" fontId="71" fillId="0" borderId="102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103" xfId="0" applyFont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</cellXfs>
  <cellStyles count="8">
    <cellStyle name="Normal" xfId="1"/>
    <cellStyle name="Обычный" xfId="0" builtinId="0"/>
    <cellStyle name="常规 2" xfId="2"/>
    <cellStyle name="常规 6" xfId="3"/>
    <cellStyle name="常规 7" xfId="4"/>
    <cellStyle name="常规_Sheet1" xfId="5"/>
    <cellStyle name="无色" xfId="6"/>
    <cellStyle name="说明文本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3" Type="http://schemas.openxmlformats.org/officeDocument/2006/relationships/image" Target="../media/image14.png"/><Relationship Id="rId7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Relationship Id="rId9" Type="http://schemas.openxmlformats.org/officeDocument/2006/relationships/image" Target="../media/image20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5" Type="http://schemas.openxmlformats.org/officeDocument/2006/relationships/image" Target="../media/image6.png"/><Relationship Id="rId4" Type="http://schemas.openxmlformats.org/officeDocument/2006/relationships/image" Target="../media/image26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3" Type="http://schemas.openxmlformats.org/officeDocument/2006/relationships/image" Target="../media/image29.png"/><Relationship Id="rId7" Type="http://schemas.openxmlformats.org/officeDocument/2006/relationships/image" Target="../media/image33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2.jpeg"/><Relationship Id="rId5" Type="http://schemas.openxmlformats.org/officeDocument/2006/relationships/image" Target="../media/image31.png"/><Relationship Id="rId4" Type="http://schemas.openxmlformats.org/officeDocument/2006/relationships/image" Target="../media/image30.png"/><Relationship Id="rId9" Type="http://schemas.openxmlformats.org/officeDocument/2006/relationships/image" Target="../media/image3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jpeg"/><Relationship Id="rId2" Type="http://schemas.openxmlformats.org/officeDocument/2006/relationships/image" Target="../media/image36.jpeg"/><Relationship Id="rId1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38.jpeg"/><Relationship Id="rId1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png"/><Relationship Id="rId2" Type="http://schemas.openxmlformats.org/officeDocument/2006/relationships/image" Target="../media/image41.png"/><Relationship Id="rId1" Type="http://schemas.openxmlformats.org/officeDocument/2006/relationships/image" Target="../media/image40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jpeg"/><Relationship Id="rId2" Type="http://schemas.openxmlformats.org/officeDocument/2006/relationships/image" Target="../media/image44.png"/><Relationship Id="rId1" Type="http://schemas.openxmlformats.org/officeDocument/2006/relationships/image" Target="../media/image43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png"/><Relationship Id="rId1" Type="http://schemas.openxmlformats.org/officeDocument/2006/relationships/image" Target="../media/image4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5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png"/><Relationship Id="rId2" Type="http://schemas.openxmlformats.org/officeDocument/2006/relationships/image" Target="../media/image57.png"/><Relationship Id="rId1" Type="http://schemas.openxmlformats.org/officeDocument/2006/relationships/image" Target="../media/image56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png"/><Relationship Id="rId2" Type="http://schemas.openxmlformats.org/officeDocument/2006/relationships/image" Target="../media/image59.png"/><Relationship Id="rId1" Type="http://schemas.openxmlformats.org/officeDocument/2006/relationships/image" Target="../media/image6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3.png"/><Relationship Id="rId2" Type="http://schemas.openxmlformats.org/officeDocument/2006/relationships/image" Target="../media/image62.png"/><Relationship Id="rId1" Type="http://schemas.openxmlformats.org/officeDocument/2006/relationships/image" Target="../media/image6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4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5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6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7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1162050</xdr:colOff>
      <xdr:row>11</xdr:row>
      <xdr:rowOff>171450</xdr:rowOff>
    </xdr:from>
    <xdr:to>
      <xdr:col>0</xdr:col>
      <xdr:colOff>2143125</xdr:colOff>
      <xdr:row>27</xdr:row>
      <xdr:rowOff>171450</xdr:rowOff>
    </xdr:to>
    <xdr:pic>
      <xdr:nvPicPr>
        <xdr:cNvPr id="565987" name="图片 1" descr="1CD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590800"/>
          <a:ext cx="923925" cy="320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219075</xdr:colOff>
      <xdr:row>12</xdr:row>
      <xdr:rowOff>76200</xdr:rowOff>
    </xdr:from>
    <xdr:to>
      <xdr:col>0</xdr:col>
      <xdr:colOff>1133475</xdr:colOff>
      <xdr:row>27</xdr:row>
      <xdr:rowOff>114300</xdr:rowOff>
    </xdr:to>
    <xdr:pic>
      <xdr:nvPicPr>
        <xdr:cNvPr id="565988" name="图片 2" descr="1CDM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9075" y="2695575"/>
          <a:ext cx="914400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742950</xdr:colOff>
      <xdr:row>25</xdr:row>
      <xdr:rowOff>133350</xdr:rowOff>
    </xdr:from>
    <xdr:to>
      <xdr:col>2</xdr:col>
      <xdr:colOff>1552575</xdr:colOff>
      <xdr:row>39</xdr:row>
      <xdr:rowOff>190500</xdr:rowOff>
    </xdr:to>
    <xdr:pic>
      <xdr:nvPicPr>
        <xdr:cNvPr id="582204" name="图片 6" descr="CDLF multistage centrifugal pu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47850" y="5229225"/>
          <a:ext cx="0" cy="285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742950</xdr:colOff>
      <xdr:row>9</xdr:row>
      <xdr:rowOff>47625</xdr:rowOff>
    </xdr:from>
    <xdr:to>
      <xdr:col>2</xdr:col>
      <xdr:colOff>1524000</xdr:colOff>
      <xdr:row>23</xdr:row>
      <xdr:rowOff>19050</xdr:rowOff>
    </xdr:to>
    <xdr:pic>
      <xdr:nvPicPr>
        <xdr:cNvPr id="582205" name="图片 7" descr="CDL vertical multistage pu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47850" y="1943100"/>
          <a:ext cx="0" cy="277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466725</xdr:colOff>
      <xdr:row>7</xdr:row>
      <xdr:rowOff>19050</xdr:rowOff>
    </xdr:from>
    <xdr:to>
      <xdr:col>1</xdr:col>
      <xdr:colOff>561975</xdr:colOff>
      <xdr:row>20</xdr:row>
      <xdr:rowOff>47625</xdr:rowOff>
    </xdr:to>
    <xdr:pic>
      <xdr:nvPicPr>
        <xdr:cNvPr id="582206" name="图片 7" descr="CDL vertical multistage pump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6725" y="1876425"/>
          <a:ext cx="781050" cy="2266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438150</xdr:colOff>
      <xdr:row>22</xdr:row>
      <xdr:rowOff>142875</xdr:rowOff>
    </xdr:from>
    <xdr:to>
      <xdr:col>1</xdr:col>
      <xdr:colOff>561975</xdr:colOff>
      <xdr:row>37</xdr:row>
      <xdr:rowOff>19050</xdr:rowOff>
    </xdr:to>
    <xdr:pic>
      <xdr:nvPicPr>
        <xdr:cNvPr id="582207" name="图片 6" descr="CDLF multistage centrifugal pum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4638675"/>
          <a:ext cx="809625" cy="287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</xdr:row>
      <xdr:rowOff>142875</xdr:rowOff>
    </xdr:from>
    <xdr:to>
      <xdr:col>0</xdr:col>
      <xdr:colOff>1428750</xdr:colOff>
      <xdr:row>18</xdr:row>
      <xdr:rowOff>114300</xdr:rowOff>
    </xdr:to>
    <xdr:pic>
      <xdr:nvPicPr>
        <xdr:cNvPr id="551327" name="图片 4" descr="FV抠图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9100" y="676275"/>
          <a:ext cx="1009650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0</xdr:row>
      <xdr:rowOff>171450</xdr:rowOff>
    </xdr:from>
    <xdr:to>
      <xdr:col>4</xdr:col>
      <xdr:colOff>133350</xdr:colOff>
      <xdr:row>3</xdr:row>
      <xdr:rowOff>95250</xdr:rowOff>
    </xdr:to>
    <xdr:pic>
      <xdr:nvPicPr>
        <xdr:cNvPr id="584074" name="图片 2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66975" y="171450"/>
          <a:ext cx="272415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704850</xdr:colOff>
      <xdr:row>8</xdr:row>
      <xdr:rowOff>95250</xdr:rowOff>
    </xdr:from>
    <xdr:to>
      <xdr:col>0</xdr:col>
      <xdr:colOff>1800225</xdr:colOff>
      <xdr:row>21</xdr:row>
      <xdr:rowOff>66675</xdr:rowOff>
    </xdr:to>
    <xdr:pic>
      <xdr:nvPicPr>
        <xdr:cNvPr id="584075" name="图片 3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4850" y="2543175"/>
          <a:ext cx="1095375" cy="2562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762000</xdr:colOff>
      <xdr:row>62</xdr:row>
      <xdr:rowOff>76200</xdr:rowOff>
    </xdr:from>
    <xdr:to>
      <xdr:col>0</xdr:col>
      <xdr:colOff>1838325</xdr:colOff>
      <xdr:row>77</xdr:row>
      <xdr:rowOff>200025</xdr:rowOff>
    </xdr:to>
    <xdr:pic>
      <xdr:nvPicPr>
        <xdr:cNvPr id="584076" name="图片 5" descr="未命名 -1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000" y="13582650"/>
          <a:ext cx="1076325" cy="3114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0</xdr:rowOff>
    </xdr:from>
    <xdr:to>
      <xdr:col>0</xdr:col>
      <xdr:colOff>2343150</xdr:colOff>
      <xdr:row>10</xdr:row>
      <xdr:rowOff>0</xdr:rowOff>
    </xdr:to>
    <xdr:pic>
      <xdr:nvPicPr>
        <xdr:cNvPr id="552766" name="图片 5" descr="FTD抠图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9550" y="3124200"/>
          <a:ext cx="2133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333375</xdr:colOff>
      <xdr:row>11</xdr:row>
      <xdr:rowOff>171450</xdr:rowOff>
    </xdr:from>
    <xdr:to>
      <xdr:col>0</xdr:col>
      <xdr:colOff>1962150</xdr:colOff>
      <xdr:row>25</xdr:row>
      <xdr:rowOff>9525</xdr:rowOff>
    </xdr:to>
    <xdr:pic>
      <xdr:nvPicPr>
        <xdr:cNvPr id="552767" name="图片 44" descr="未命名 -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3476625"/>
          <a:ext cx="1628775" cy="2514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4</xdr:row>
      <xdr:rowOff>104775</xdr:rowOff>
    </xdr:from>
    <xdr:to>
      <xdr:col>1</xdr:col>
      <xdr:colOff>2209800</xdr:colOff>
      <xdr:row>13</xdr:row>
      <xdr:rowOff>47625</xdr:rowOff>
    </xdr:to>
    <xdr:pic>
      <xdr:nvPicPr>
        <xdr:cNvPr id="514040" name="图片 2" descr="IMG_96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1085850"/>
          <a:ext cx="2533650" cy="180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800100</xdr:colOff>
      <xdr:row>6</xdr:row>
      <xdr:rowOff>9525</xdr:rowOff>
    </xdr:from>
    <xdr:to>
      <xdr:col>1</xdr:col>
      <xdr:colOff>2047875</xdr:colOff>
      <xdr:row>13</xdr:row>
      <xdr:rowOff>142875</xdr:rowOff>
    </xdr:to>
    <xdr:pic>
      <xdr:nvPicPr>
        <xdr:cNvPr id="589107" name="图片 33" descr="6F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900" y="1390650"/>
          <a:ext cx="1247775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857250</xdr:colOff>
      <xdr:row>32</xdr:row>
      <xdr:rowOff>95250</xdr:rowOff>
    </xdr:from>
    <xdr:to>
      <xdr:col>1</xdr:col>
      <xdr:colOff>1933575</xdr:colOff>
      <xdr:row>39</xdr:row>
      <xdr:rowOff>47625</xdr:rowOff>
    </xdr:to>
    <xdr:pic>
      <xdr:nvPicPr>
        <xdr:cNvPr id="589108" name="图片 34" descr="6FB(B)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43050" y="6677025"/>
          <a:ext cx="107632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876300</xdr:colOff>
      <xdr:row>24</xdr:row>
      <xdr:rowOff>57150</xdr:rowOff>
    </xdr:from>
    <xdr:to>
      <xdr:col>1</xdr:col>
      <xdr:colOff>1981200</xdr:colOff>
      <xdr:row>31</xdr:row>
      <xdr:rowOff>9525</xdr:rowOff>
    </xdr:to>
    <xdr:pic>
      <xdr:nvPicPr>
        <xdr:cNvPr id="589109" name="图片 35" descr="6FB(S)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62100" y="5038725"/>
          <a:ext cx="110490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762000</xdr:colOff>
      <xdr:row>47</xdr:row>
      <xdr:rowOff>95250</xdr:rowOff>
    </xdr:from>
    <xdr:to>
      <xdr:col>1</xdr:col>
      <xdr:colOff>1943100</xdr:colOff>
      <xdr:row>53</xdr:row>
      <xdr:rowOff>9525</xdr:rowOff>
    </xdr:to>
    <xdr:pic>
      <xdr:nvPicPr>
        <xdr:cNvPr id="589110" name="图片 36" descr="7FB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47800" y="9715500"/>
          <a:ext cx="118110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771525</xdr:colOff>
      <xdr:row>62</xdr:row>
      <xdr:rowOff>114300</xdr:rowOff>
    </xdr:from>
    <xdr:to>
      <xdr:col>1</xdr:col>
      <xdr:colOff>1943100</xdr:colOff>
      <xdr:row>68</xdr:row>
      <xdr:rowOff>57150</xdr:rowOff>
    </xdr:to>
    <xdr:pic>
      <xdr:nvPicPr>
        <xdr:cNvPr id="589111" name="图片 37" descr="7FBA(B)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57325" y="12934950"/>
          <a:ext cx="117157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790575</xdr:colOff>
      <xdr:row>54</xdr:row>
      <xdr:rowOff>142875</xdr:rowOff>
    </xdr:from>
    <xdr:to>
      <xdr:col>1</xdr:col>
      <xdr:colOff>1943100</xdr:colOff>
      <xdr:row>60</xdr:row>
      <xdr:rowOff>209550</xdr:rowOff>
    </xdr:to>
    <xdr:pic>
      <xdr:nvPicPr>
        <xdr:cNvPr id="589112" name="图片 38" descr="7FBA(S)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76375" y="11363325"/>
          <a:ext cx="1152525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542925</xdr:colOff>
      <xdr:row>73</xdr:row>
      <xdr:rowOff>152400</xdr:rowOff>
    </xdr:from>
    <xdr:to>
      <xdr:col>1</xdr:col>
      <xdr:colOff>2143125</xdr:colOff>
      <xdr:row>81</xdr:row>
      <xdr:rowOff>47625</xdr:rowOff>
    </xdr:to>
    <xdr:pic>
      <xdr:nvPicPr>
        <xdr:cNvPr id="589113" name="图片 39" descr="8FB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28725" y="15420975"/>
          <a:ext cx="160020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1</xdr:col>
      <xdr:colOff>466725</xdr:colOff>
      <xdr:row>82</xdr:row>
      <xdr:rowOff>38100</xdr:rowOff>
    </xdr:from>
    <xdr:to>
      <xdr:col>1</xdr:col>
      <xdr:colOff>2200275</xdr:colOff>
      <xdr:row>90</xdr:row>
      <xdr:rowOff>266700</xdr:rowOff>
    </xdr:to>
    <xdr:pic>
      <xdr:nvPicPr>
        <xdr:cNvPr id="589114" name="图片 40" descr="8FBG-F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52525" y="17097375"/>
          <a:ext cx="1733550" cy="1847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266700</xdr:colOff>
      <xdr:row>106</xdr:row>
      <xdr:rowOff>76200</xdr:rowOff>
    </xdr:from>
    <xdr:to>
      <xdr:col>1</xdr:col>
      <xdr:colOff>2114550</xdr:colOff>
      <xdr:row>114</xdr:row>
      <xdr:rowOff>180975</xdr:rowOff>
    </xdr:to>
    <xdr:pic>
      <xdr:nvPicPr>
        <xdr:cNvPr id="589115" name="图片 1" descr="FBT_conew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952500" y="22117050"/>
          <a:ext cx="1847850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0</xdr:row>
      <xdr:rowOff>171450</xdr:rowOff>
    </xdr:from>
    <xdr:to>
      <xdr:col>3</xdr:col>
      <xdr:colOff>371475</xdr:colOff>
      <xdr:row>3</xdr:row>
      <xdr:rowOff>9525</xdr:rowOff>
    </xdr:to>
    <xdr:pic>
      <xdr:nvPicPr>
        <xdr:cNvPr id="587068" name="图片 2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33675" y="171450"/>
          <a:ext cx="33909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523875</xdr:colOff>
      <xdr:row>9</xdr:row>
      <xdr:rowOff>28575</xdr:rowOff>
    </xdr:from>
    <xdr:to>
      <xdr:col>0</xdr:col>
      <xdr:colOff>1828800</xdr:colOff>
      <xdr:row>22</xdr:row>
      <xdr:rowOff>38100</xdr:rowOff>
    </xdr:to>
    <xdr:pic>
      <xdr:nvPicPr>
        <xdr:cNvPr id="587069" name="图片 4" descr="WQC-V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2743200"/>
          <a:ext cx="1304925" cy="2609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114300</xdr:colOff>
      <xdr:row>24</xdr:row>
      <xdr:rowOff>104775</xdr:rowOff>
    </xdr:from>
    <xdr:to>
      <xdr:col>0</xdr:col>
      <xdr:colOff>2390775</xdr:colOff>
      <xdr:row>30</xdr:row>
      <xdr:rowOff>209550</xdr:rowOff>
    </xdr:to>
    <xdr:pic>
      <xdr:nvPicPr>
        <xdr:cNvPr id="587070" name="图片 5" descr="WQC-H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4300" y="5819775"/>
          <a:ext cx="22764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26</xdr:row>
      <xdr:rowOff>104775</xdr:rowOff>
    </xdr:from>
    <xdr:to>
      <xdr:col>0</xdr:col>
      <xdr:colOff>885825</xdr:colOff>
      <xdr:row>29</xdr:row>
      <xdr:rowOff>28575</xdr:rowOff>
    </xdr:to>
    <xdr:pic>
      <xdr:nvPicPr>
        <xdr:cNvPr id="589918" name="图片 111" descr="123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7315200"/>
          <a:ext cx="7143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1076325</xdr:colOff>
      <xdr:row>25</xdr:row>
      <xdr:rowOff>171450</xdr:rowOff>
    </xdr:from>
    <xdr:to>
      <xdr:col>0</xdr:col>
      <xdr:colOff>1809750</xdr:colOff>
      <xdr:row>28</xdr:row>
      <xdr:rowOff>133350</xdr:rowOff>
    </xdr:to>
    <xdr:pic>
      <xdr:nvPicPr>
        <xdr:cNvPr id="589919" name="图片 112" descr="WQV WQQG刀盘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76325" y="7143750"/>
          <a:ext cx="733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180975</xdr:colOff>
      <xdr:row>12</xdr:row>
      <xdr:rowOff>0</xdr:rowOff>
    </xdr:from>
    <xdr:to>
      <xdr:col>0</xdr:col>
      <xdr:colOff>1666875</xdr:colOff>
      <xdr:row>25</xdr:row>
      <xdr:rowOff>104775</xdr:rowOff>
    </xdr:to>
    <xdr:pic>
      <xdr:nvPicPr>
        <xdr:cNvPr id="589920" name="图片 4" descr="WQV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0975" y="3876675"/>
          <a:ext cx="1485900" cy="320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0</xdr:colOff>
      <xdr:row>30</xdr:row>
      <xdr:rowOff>180975</xdr:rowOff>
    </xdr:from>
    <xdr:to>
      <xdr:col>0</xdr:col>
      <xdr:colOff>1628775</xdr:colOff>
      <xdr:row>44</xdr:row>
      <xdr:rowOff>47625</xdr:rowOff>
    </xdr:to>
    <xdr:pic>
      <xdr:nvPicPr>
        <xdr:cNvPr id="589921" name="图片 5" descr="WQV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8343900"/>
          <a:ext cx="1628775" cy="320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76200</xdr:colOff>
      <xdr:row>0</xdr:row>
      <xdr:rowOff>123825</xdr:rowOff>
    </xdr:from>
    <xdr:to>
      <xdr:col>1</xdr:col>
      <xdr:colOff>1304925</xdr:colOff>
      <xdr:row>3</xdr:row>
      <xdr:rowOff>57150</xdr:rowOff>
    </xdr:to>
    <xdr:pic>
      <xdr:nvPicPr>
        <xdr:cNvPr id="589922" name="图片 2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200" y="123825"/>
          <a:ext cx="34385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2</xdr:row>
      <xdr:rowOff>0</xdr:rowOff>
    </xdr:from>
    <xdr:to>
      <xdr:col>0</xdr:col>
      <xdr:colOff>1962150</xdr:colOff>
      <xdr:row>2</xdr:row>
      <xdr:rowOff>0</xdr:rowOff>
    </xdr:to>
    <xdr:pic>
      <xdr:nvPicPr>
        <xdr:cNvPr id="588373" name="图片 38" descr="WQV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" y="95250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552450</xdr:colOff>
      <xdr:row>14</xdr:row>
      <xdr:rowOff>76200</xdr:rowOff>
    </xdr:from>
    <xdr:to>
      <xdr:col>0</xdr:col>
      <xdr:colOff>2124075</xdr:colOff>
      <xdr:row>29</xdr:row>
      <xdr:rowOff>28575</xdr:rowOff>
    </xdr:to>
    <xdr:pic>
      <xdr:nvPicPr>
        <xdr:cNvPr id="588374" name="图片 41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2450" y="3524250"/>
          <a:ext cx="1571625" cy="2809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514350</xdr:colOff>
      <xdr:row>33</xdr:row>
      <xdr:rowOff>57150</xdr:rowOff>
    </xdr:from>
    <xdr:to>
      <xdr:col>0</xdr:col>
      <xdr:colOff>2181225</xdr:colOff>
      <xdr:row>48</xdr:row>
      <xdr:rowOff>123825</xdr:rowOff>
    </xdr:to>
    <xdr:pic>
      <xdr:nvPicPr>
        <xdr:cNvPr id="588375" name="图片 42" descr="未命名 -1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350" y="7124700"/>
          <a:ext cx="1666875" cy="2924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533400</xdr:colOff>
      <xdr:row>100</xdr:row>
      <xdr:rowOff>0</xdr:rowOff>
    </xdr:from>
    <xdr:to>
      <xdr:col>0</xdr:col>
      <xdr:colOff>1952625</xdr:colOff>
      <xdr:row>100</xdr:row>
      <xdr:rowOff>0</xdr:rowOff>
    </xdr:to>
    <xdr:pic>
      <xdr:nvPicPr>
        <xdr:cNvPr id="588376" name="图片 43" descr="WQ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533400" y="2005965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247650</xdr:colOff>
      <xdr:row>100</xdr:row>
      <xdr:rowOff>0</xdr:rowOff>
    </xdr:from>
    <xdr:to>
      <xdr:col>0</xdr:col>
      <xdr:colOff>2428875</xdr:colOff>
      <xdr:row>100</xdr:row>
      <xdr:rowOff>0</xdr:rowOff>
    </xdr:to>
    <xdr:pic>
      <xdr:nvPicPr>
        <xdr:cNvPr id="588377" name="图片 44" descr="WQ with rail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47650" y="20059650"/>
          <a:ext cx="2181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619125</xdr:colOff>
      <xdr:row>100</xdr:row>
      <xdr:rowOff>0</xdr:rowOff>
    </xdr:from>
    <xdr:to>
      <xdr:col>0</xdr:col>
      <xdr:colOff>2152650</xdr:colOff>
      <xdr:row>106</xdr:row>
      <xdr:rowOff>123825</xdr:rowOff>
    </xdr:to>
    <xdr:pic>
      <xdr:nvPicPr>
        <xdr:cNvPr id="588378" name="Picture 119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19125" y="20059650"/>
          <a:ext cx="153352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533400</xdr:colOff>
      <xdr:row>4</xdr:row>
      <xdr:rowOff>0</xdr:rowOff>
    </xdr:from>
    <xdr:to>
      <xdr:col>0</xdr:col>
      <xdr:colOff>1857375</xdr:colOff>
      <xdr:row>15</xdr:row>
      <xdr:rowOff>0</xdr:rowOff>
    </xdr:to>
    <xdr:pic>
      <xdr:nvPicPr>
        <xdr:cNvPr id="588379" name="Picture 1415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33400" y="1314450"/>
          <a:ext cx="1323975" cy="2324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129</xdr:row>
      <xdr:rowOff>28575</xdr:rowOff>
    </xdr:from>
    <xdr:to>
      <xdr:col>0</xdr:col>
      <xdr:colOff>2181225</xdr:colOff>
      <xdr:row>146</xdr:row>
      <xdr:rowOff>28575</xdr:rowOff>
    </xdr:to>
    <xdr:pic>
      <xdr:nvPicPr>
        <xdr:cNvPr id="588380" name="图片 44" descr="WQ with rail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25612725"/>
          <a:ext cx="2181225" cy="323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342900</xdr:colOff>
      <xdr:row>108</xdr:row>
      <xdr:rowOff>38100</xdr:rowOff>
    </xdr:from>
    <xdr:to>
      <xdr:col>0</xdr:col>
      <xdr:colOff>1771650</xdr:colOff>
      <xdr:row>125</xdr:row>
      <xdr:rowOff>38100</xdr:rowOff>
    </xdr:to>
    <xdr:pic>
      <xdr:nvPicPr>
        <xdr:cNvPr id="588381" name="图片 57" descr="1 WQ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42900" y="21621750"/>
          <a:ext cx="1428750" cy="323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514350</xdr:colOff>
      <xdr:row>51</xdr:row>
      <xdr:rowOff>28575</xdr:rowOff>
    </xdr:from>
    <xdr:to>
      <xdr:col>0</xdr:col>
      <xdr:colOff>2105025</xdr:colOff>
      <xdr:row>58</xdr:row>
      <xdr:rowOff>76200</xdr:rowOff>
    </xdr:to>
    <xdr:pic>
      <xdr:nvPicPr>
        <xdr:cNvPr id="588382" name="Picture 8753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14350" y="10525125"/>
          <a:ext cx="159067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0</xdr:row>
      <xdr:rowOff>104775</xdr:rowOff>
    </xdr:from>
    <xdr:to>
      <xdr:col>1</xdr:col>
      <xdr:colOff>1162050</xdr:colOff>
      <xdr:row>2</xdr:row>
      <xdr:rowOff>0</xdr:rowOff>
    </xdr:to>
    <xdr:pic>
      <xdr:nvPicPr>
        <xdr:cNvPr id="583189" name="图片 2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104775"/>
          <a:ext cx="34385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190500</xdr:colOff>
      <xdr:row>6</xdr:row>
      <xdr:rowOff>276225</xdr:rowOff>
    </xdr:from>
    <xdr:to>
      <xdr:col>0</xdr:col>
      <xdr:colOff>1724025</xdr:colOff>
      <xdr:row>20</xdr:row>
      <xdr:rowOff>133350</xdr:rowOff>
    </xdr:to>
    <xdr:pic>
      <xdr:nvPicPr>
        <xdr:cNvPr id="583190" name="图片 4" descr="wqk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0" y="1609725"/>
          <a:ext cx="1533525" cy="307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1733550</xdr:colOff>
      <xdr:row>16</xdr:row>
      <xdr:rowOff>85725</xdr:rowOff>
    </xdr:from>
    <xdr:to>
      <xdr:col>0</xdr:col>
      <xdr:colOff>1733550</xdr:colOff>
      <xdr:row>19</xdr:row>
      <xdr:rowOff>142875</xdr:rowOff>
    </xdr:to>
    <xdr:pic>
      <xdr:nvPicPr>
        <xdr:cNvPr id="583191" name="图片 5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733550" y="3838575"/>
          <a:ext cx="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1524000</xdr:colOff>
      <xdr:row>9</xdr:row>
      <xdr:rowOff>104775</xdr:rowOff>
    </xdr:from>
    <xdr:to>
      <xdr:col>0</xdr:col>
      <xdr:colOff>2371725</xdr:colOff>
      <xdr:row>15</xdr:row>
      <xdr:rowOff>19050</xdr:rowOff>
    </xdr:to>
    <xdr:pic>
      <xdr:nvPicPr>
        <xdr:cNvPr id="583192" name="图片 5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4000" y="2457450"/>
          <a:ext cx="84772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1</xdr:col>
      <xdr:colOff>66675</xdr:colOff>
      <xdr:row>1</xdr:row>
      <xdr:rowOff>733425</xdr:rowOff>
    </xdr:to>
    <xdr:pic>
      <xdr:nvPicPr>
        <xdr:cNvPr id="590871" name="图片 2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3350"/>
          <a:ext cx="29718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838200</xdr:colOff>
      <xdr:row>14</xdr:row>
      <xdr:rowOff>28575</xdr:rowOff>
    </xdr:from>
    <xdr:to>
      <xdr:col>0</xdr:col>
      <xdr:colOff>2019300</xdr:colOff>
      <xdr:row>20</xdr:row>
      <xdr:rowOff>9525</xdr:rowOff>
    </xdr:to>
    <xdr:pic>
      <xdr:nvPicPr>
        <xdr:cNvPr id="59087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8200" y="3886200"/>
          <a:ext cx="1181100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3</xdr:row>
      <xdr:rowOff>104775</xdr:rowOff>
    </xdr:from>
    <xdr:to>
      <xdr:col>0</xdr:col>
      <xdr:colOff>2838450</xdr:colOff>
      <xdr:row>13</xdr:row>
      <xdr:rowOff>171450</xdr:rowOff>
    </xdr:to>
    <xdr:pic>
      <xdr:nvPicPr>
        <xdr:cNvPr id="590873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2875" y="1219200"/>
          <a:ext cx="2695575" cy="2609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13</xdr:row>
      <xdr:rowOff>114300</xdr:rowOff>
    </xdr:from>
    <xdr:to>
      <xdr:col>2</xdr:col>
      <xdr:colOff>361950</xdr:colOff>
      <xdr:row>24</xdr:row>
      <xdr:rowOff>38100</xdr:rowOff>
    </xdr:to>
    <xdr:pic>
      <xdr:nvPicPr>
        <xdr:cNvPr id="570340" name="图片 1" descr="wq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1304925"/>
          <a:ext cx="1266825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26</xdr:row>
      <xdr:rowOff>171450</xdr:rowOff>
    </xdr:from>
    <xdr:to>
      <xdr:col>2</xdr:col>
      <xdr:colOff>962025</xdr:colOff>
      <xdr:row>36</xdr:row>
      <xdr:rowOff>171450</xdr:rowOff>
    </xdr:to>
    <xdr:pic>
      <xdr:nvPicPr>
        <xdr:cNvPr id="570341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0" y="3952875"/>
          <a:ext cx="2238375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37</xdr:row>
      <xdr:rowOff>19050</xdr:rowOff>
    </xdr:from>
    <xdr:to>
      <xdr:col>2</xdr:col>
      <xdr:colOff>885825</xdr:colOff>
      <xdr:row>46</xdr:row>
      <xdr:rowOff>104775</xdr:rowOff>
    </xdr:to>
    <xdr:pic>
      <xdr:nvPicPr>
        <xdr:cNvPr id="570342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100" y="6000750"/>
          <a:ext cx="2219325" cy="1885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2</xdr:row>
      <xdr:rowOff>38100</xdr:rowOff>
    </xdr:from>
    <xdr:to>
      <xdr:col>0</xdr:col>
      <xdr:colOff>2314575</xdr:colOff>
      <xdr:row>11</xdr:row>
      <xdr:rowOff>0</xdr:rowOff>
    </xdr:to>
    <xdr:pic>
      <xdr:nvPicPr>
        <xdr:cNvPr id="575998" name="图片 2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2450" y="400050"/>
          <a:ext cx="1762125" cy="193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695325</xdr:colOff>
      <xdr:row>12</xdr:row>
      <xdr:rowOff>180975</xdr:rowOff>
    </xdr:from>
    <xdr:to>
      <xdr:col>0</xdr:col>
      <xdr:colOff>2124075</xdr:colOff>
      <xdr:row>23</xdr:row>
      <xdr:rowOff>19050</xdr:rowOff>
    </xdr:to>
    <xdr:pic>
      <xdr:nvPicPr>
        <xdr:cNvPr id="575999" name="图片 4" descr="未命名 -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5325" y="2705100"/>
          <a:ext cx="1428750" cy="1905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828675</xdr:colOff>
      <xdr:row>29</xdr:row>
      <xdr:rowOff>114300</xdr:rowOff>
    </xdr:from>
    <xdr:to>
      <xdr:col>0</xdr:col>
      <xdr:colOff>2238375</xdr:colOff>
      <xdr:row>39</xdr:row>
      <xdr:rowOff>19050</xdr:rowOff>
    </xdr:to>
    <xdr:pic>
      <xdr:nvPicPr>
        <xdr:cNvPr id="576000" name="Picture 98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28675" y="4991100"/>
          <a:ext cx="1409700" cy="2295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685800</xdr:colOff>
      <xdr:row>3</xdr:row>
      <xdr:rowOff>28575</xdr:rowOff>
    </xdr:from>
    <xdr:to>
      <xdr:col>0</xdr:col>
      <xdr:colOff>1838325</xdr:colOff>
      <xdr:row>16</xdr:row>
      <xdr:rowOff>28575</xdr:rowOff>
    </xdr:to>
    <xdr:pic>
      <xdr:nvPicPr>
        <xdr:cNvPr id="564971" name="图片 36" descr="KB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0" y="714375"/>
          <a:ext cx="1152525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657225</xdr:colOff>
      <xdr:row>18</xdr:row>
      <xdr:rowOff>228600</xdr:rowOff>
    </xdr:from>
    <xdr:to>
      <xdr:col>0</xdr:col>
      <xdr:colOff>1752600</xdr:colOff>
      <xdr:row>32</xdr:row>
      <xdr:rowOff>47625</xdr:rowOff>
    </xdr:to>
    <xdr:pic>
      <xdr:nvPicPr>
        <xdr:cNvPr id="564972" name="图片 37" descr="KB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7225" y="4457700"/>
          <a:ext cx="1095375" cy="304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7</xdr:row>
      <xdr:rowOff>38100</xdr:rowOff>
    </xdr:from>
    <xdr:to>
      <xdr:col>1</xdr:col>
      <xdr:colOff>2219325</xdr:colOff>
      <xdr:row>13</xdr:row>
      <xdr:rowOff>180975</xdr:rowOff>
    </xdr:to>
    <xdr:pic>
      <xdr:nvPicPr>
        <xdr:cNvPr id="516087" name="图片 18" descr="8FZ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1600200"/>
          <a:ext cx="20097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3</xdr:row>
      <xdr:rowOff>85725</xdr:rowOff>
    </xdr:from>
    <xdr:to>
      <xdr:col>0</xdr:col>
      <xdr:colOff>1571625</xdr:colOff>
      <xdr:row>14</xdr:row>
      <xdr:rowOff>123825</xdr:rowOff>
    </xdr:to>
    <xdr:pic>
      <xdr:nvPicPr>
        <xdr:cNvPr id="563575" name="图片 59" descr="L submersible water pum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5" y="771525"/>
          <a:ext cx="1028700" cy="2343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6</xdr:row>
      <xdr:rowOff>142875</xdr:rowOff>
    </xdr:from>
    <xdr:to>
      <xdr:col>0</xdr:col>
      <xdr:colOff>2409825</xdr:colOff>
      <xdr:row>12</xdr:row>
      <xdr:rowOff>180975</xdr:rowOff>
    </xdr:to>
    <xdr:pic>
      <xdr:nvPicPr>
        <xdr:cNvPr id="553372" name="图片 3" descr="C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1514475"/>
          <a:ext cx="220027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5</xdr:row>
      <xdr:rowOff>0</xdr:rowOff>
    </xdr:from>
    <xdr:to>
      <xdr:col>0</xdr:col>
      <xdr:colOff>2495550</xdr:colOff>
      <xdr:row>12</xdr:row>
      <xdr:rowOff>66675</xdr:rowOff>
    </xdr:to>
    <xdr:pic>
      <xdr:nvPicPr>
        <xdr:cNvPr id="554395" name="图片 6" descr="MS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1162050"/>
          <a:ext cx="215265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2143125</xdr:colOff>
      <xdr:row>14</xdr:row>
      <xdr:rowOff>66675</xdr:rowOff>
    </xdr:to>
    <xdr:pic>
      <xdr:nvPicPr>
        <xdr:cNvPr id="555418" name="图片 7" descr="CH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52575"/>
          <a:ext cx="214312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5</xdr:row>
      <xdr:rowOff>180975</xdr:rowOff>
    </xdr:from>
    <xdr:to>
      <xdr:col>0</xdr:col>
      <xdr:colOff>2419350</xdr:colOff>
      <xdr:row>12</xdr:row>
      <xdr:rowOff>161925</xdr:rowOff>
    </xdr:to>
    <xdr:pic>
      <xdr:nvPicPr>
        <xdr:cNvPr id="556441" name="图片 8" descr="CHL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1343025"/>
          <a:ext cx="215265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6</xdr:row>
      <xdr:rowOff>19050</xdr:rowOff>
    </xdr:from>
    <xdr:to>
      <xdr:col>0</xdr:col>
      <xdr:colOff>2447925</xdr:colOff>
      <xdr:row>13</xdr:row>
      <xdr:rowOff>95250</xdr:rowOff>
    </xdr:to>
    <xdr:pic>
      <xdr:nvPicPr>
        <xdr:cNvPr id="557464" name="图片 9" descr="CHLF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1371600"/>
          <a:ext cx="215265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9</xdr:row>
      <xdr:rowOff>0</xdr:rowOff>
    </xdr:from>
    <xdr:to>
      <xdr:col>2</xdr:col>
      <xdr:colOff>571500</xdr:colOff>
      <xdr:row>14</xdr:row>
      <xdr:rowOff>95250</xdr:rowOff>
    </xdr:to>
    <xdr:pic>
      <xdr:nvPicPr>
        <xdr:cNvPr id="56866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800225"/>
          <a:ext cx="18478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6</xdr:row>
      <xdr:rowOff>171450</xdr:rowOff>
    </xdr:from>
    <xdr:to>
      <xdr:col>1</xdr:col>
      <xdr:colOff>1962150</xdr:colOff>
      <xdr:row>13</xdr:row>
      <xdr:rowOff>0</xdr:rowOff>
    </xdr:to>
    <xdr:pic>
      <xdr:nvPicPr>
        <xdr:cNvPr id="581045" name="图片 3" descr="IMG_9611(1)_conew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5350" y="1533525"/>
          <a:ext cx="17526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180975</xdr:colOff>
      <xdr:row>47</xdr:row>
      <xdr:rowOff>57150</xdr:rowOff>
    </xdr:from>
    <xdr:to>
      <xdr:col>1</xdr:col>
      <xdr:colOff>2009775</xdr:colOff>
      <xdr:row>53</xdr:row>
      <xdr:rowOff>76200</xdr:rowOff>
    </xdr:to>
    <xdr:pic>
      <xdr:nvPicPr>
        <xdr:cNvPr id="581046" name="图片 4" descr="IMG_9614(1)_conew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6775" y="11630025"/>
          <a:ext cx="18288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25</xdr:row>
      <xdr:rowOff>190500</xdr:rowOff>
    </xdr:from>
    <xdr:to>
      <xdr:col>1</xdr:col>
      <xdr:colOff>2000250</xdr:colOff>
      <xdr:row>32</xdr:row>
      <xdr:rowOff>152400</xdr:rowOff>
    </xdr:to>
    <xdr:pic>
      <xdr:nvPicPr>
        <xdr:cNvPr id="581047" name="图片 5" descr="IMG_9615(1)_conew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95350" y="6400800"/>
          <a:ext cx="179070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2</xdr:row>
      <xdr:rowOff>171450</xdr:rowOff>
    </xdr:from>
    <xdr:to>
      <xdr:col>6</xdr:col>
      <xdr:colOff>133350</xdr:colOff>
      <xdr:row>5</xdr:row>
      <xdr:rowOff>95250</xdr:rowOff>
    </xdr:to>
    <xdr:pic>
      <xdr:nvPicPr>
        <xdr:cNvPr id="586103" name="图片 2" descr="未命名 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533400"/>
          <a:ext cx="31337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2</xdr:col>
      <xdr:colOff>95250</xdr:colOff>
      <xdr:row>12</xdr:row>
      <xdr:rowOff>47625</xdr:rowOff>
    </xdr:from>
    <xdr:to>
      <xdr:col>2</xdr:col>
      <xdr:colOff>2000250</xdr:colOff>
      <xdr:row>19</xdr:row>
      <xdr:rowOff>28575</xdr:rowOff>
    </xdr:to>
    <xdr:pic>
      <xdr:nvPicPr>
        <xdr:cNvPr id="586104" name="图片 1" descr="9F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66850" y="3429000"/>
          <a:ext cx="1905000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23</xdr:row>
      <xdr:rowOff>104775</xdr:rowOff>
    </xdr:from>
    <xdr:to>
      <xdr:col>2</xdr:col>
      <xdr:colOff>1733550</xdr:colOff>
      <xdr:row>29</xdr:row>
      <xdr:rowOff>76200</xdr:rowOff>
    </xdr:to>
    <xdr:pic>
      <xdr:nvPicPr>
        <xdr:cNvPr id="586105" name="图片 2" descr="图片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62100" y="5686425"/>
          <a:ext cx="15430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</xdr:row>
      <xdr:rowOff>304800</xdr:rowOff>
    </xdr:from>
    <xdr:to>
      <xdr:col>0</xdr:col>
      <xdr:colOff>2371725</xdr:colOff>
      <xdr:row>10</xdr:row>
      <xdr:rowOff>85725</xdr:rowOff>
    </xdr:to>
    <xdr:pic>
      <xdr:nvPicPr>
        <xdr:cNvPr id="579006" name="图片 1" descr="FST抠图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666750"/>
          <a:ext cx="21431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228600</xdr:colOff>
      <xdr:row>20</xdr:row>
      <xdr:rowOff>142875</xdr:rowOff>
    </xdr:from>
    <xdr:to>
      <xdr:col>0</xdr:col>
      <xdr:colOff>2381250</xdr:colOff>
      <xdr:row>28</xdr:row>
      <xdr:rowOff>85725</xdr:rowOff>
    </xdr:to>
    <xdr:pic>
      <xdr:nvPicPr>
        <xdr:cNvPr id="579007" name="图片 10" descr="FST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8600" y="4210050"/>
          <a:ext cx="2152650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180975</xdr:colOff>
      <xdr:row>12</xdr:row>
      <xdr:rowOff>9525</xdr:rowOff>
    </xdr:from>
    <xdr:to>
      <xdr:col>0</xdr:col>
      <xdr:colOff>2343150</xdr:colOff>
      <xdr:row>18</xdr:row>
      <xdr:rowOff>152400</xdr:rowOff>
    </xdr:to>
    <xdr:pic>
      <xdr:nvPicPr>
        <xdr:cNvPr id="579008" name="图片 11" descr="FST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0975" y="2505075"/>
          <a:ext cx="2162175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8</xdr:row>
      <xdr:rowOff>85725</xdr:rowOff>
    </xdr:from>
    <xdr:to>
      <xdr:col>0</xdr:col>
      <xdr:colOff>2447925</xdr:colOff>
      <xdr:row>16</xdr:row>
      <xdr:rowOff>9525</xdr:rowOff>
    </xdr:to>
    <xdr:pic>
      <xdr:nvPicPr>
        <xdr:cNvPr id="584833" name="图片 12" descr="FST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1828800"/>
          <a:ext cx="214312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7</xdr:row>
      <xdr:rowOff>123825</xdr:rowOff>
    </xdr:from>
    <xdr:to>
      <xdr:col>0</xdr:col>
      <xdr:colOff>2476500</xdr:colOff>
      <xdr:row>14</xdr:row>
      <xdr:rowOff>9525</xdr:rowOff>
    </xdr:to>
    <xdr:pic>
      <xdr:nvPicPr>
        <xdr:cNvPr id="574658" name="图片 14" descr="FS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1676400"/>
          <a:ext cx="216217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</xdr:row>
      <xdr:rowOff>95250</xdr:rowOff>
    </xdr:from>
    <xdr:to>
      <xdr:col>0</xdr:col>
      <xdr:colOff>2209800</xdr:colOff>
      <xdr:row>13</xdr:row>
      <xdr:rowOff>247650</xdr:rowOff>
    </xdr:to>
    <xdr:pic>
      <xdr:nvPicPr>
        <xdr:cNvPr id="561536" name="图片 23" descr="FS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781050"/>
          <a:ext cx="1905000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2</xdr:col>
      <xdr:colOff>1602441</xdr:colOff>
      <xdr:row>14</xdr:row>
      <xdr:rowOff>145676</xdr:rowOff>
    </xdr:to>
    <xdr:pic>
      <xdr:nvPicPr>
        <xdr:cNvPr id="3" name="图片 60" descr="YE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3559" y="1759324"/>
          <a:ext cx="2286000" cy="1557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9525</xdr:rowOff>
    </xdr:from>
    <xdr:to>
      <xdr:col>0</xdr:col>
      <xdr:colOff>2571750</xdr:colOff>
      <xdr:row>5</xdr:row>
      <xdr:rowOff>638175</xdr:rowOff>
    </xdr:to>
    <xdr:pic>
      <xdr:nvPicPr>
        <xdr:cNvPr id="52514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733425"/>
          <a:ext cx="2371725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theme="4" tint="0.59999389629810485"/>
  </sheetPr>
  <dimension ref="A3:P369"/>
  <sheetViews>
    <sheetView workbookViewId="0"/>
  </sheetViews>
  <sheetFormatPr defaultRowHeight="14.25"/>
  <cols>
    <col min="1" max="1" width="27.375" customWidth="1"/>
    <col min="2" max="2" width="23.375" customWidth="1"/>
    <col min="9" max="9" width="11.375" customWidth="1"/>
    <col min="11" max="11" width="11.625" customWidth="1"/>
    <col min="12" max="12" width="10.75" customWidth="1"/>
    <col min="13" max="13" width="16" customWidth="1"/>
    <col min="14" max="14" width="14.75" customWidth="1"/>
    <col min="16" max="16" width="0.375" customWidth="1"/>
  </cols>
  <sheetData>
    <row r="3" spans="1:16" ht="27.75" thickBot="1">
      <c r="B3" s="61" t="s">
        <v>1168</v>
      </c>
      <c r="C3" s="62"/>
      <c r="D3" s="62"/>
      <c r="E3" s="62"/>
      <c r="F3" s="62"/>
      <c r="G3" s="62"/>
      <c r="H3" s="17"/>
      <c r="I3" s="62"/>
      <c r="J3" s="29"/>
      <c r="K3" s="29"/>
      <c r="L3" s="62"/>
      <c r="M3" s="62"/>
      <c r="N3" s="62"/>
      <c r="O3" s="62"/>
      <c r="P3" s="62"/>
    </row>
    <row r="4" spans="1:16" ht="42.75">
      <c r="B4" s="112" t="s">
        <v>1381</v>
      </c>
      <c r="C4" s="45" t="s">
        <v>2600</v>
      </c>
      <c r="D4" s="46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6" ht="15">
      <c r="B5" s="104" t="s">
        <v>1382</v>
      </c>
      <c r="C5" s="105" t="s">
        <v>1383</v>
      </c>
      <c r="D5" s="106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6" ht="15">
      <c r="B6" s="47" t="s">
        <v>1374</v>
      </c>
      <c r="C6" s="48" t="s">
        <v>1384</v>
      </c>
      <c r="D6" s="49"/>
      <c r="E6" s="52"/>
      <c r="F6" s="52"/>
      <c r="G6" s="52"/>
      <c r="H6" s="52"/>
      <c r="I6" s="52"/>
      <c r="J6" s="52"/>
      <c r="K6" s="52"/>
      <c r="L6" s="52"/>
      <c r="M6" s="52"/>
      <c r="N6" s="107"/>
      <c r="O6" s="107"/>
      <c r="P6" s="107"/>
    </row>
    <row r="7" spans="1:16" ht="15">
      <c r="B7" s="47" t="s">
        <v>1385</v>
      </c>
      <c r="C7" s="48" t="s">
        <v>1386</v>
      </c>
      <c r="D7" s="49"/>
      <c r="E7" s="52"/>
      <c r="F7" s="52"/>
      <c r="G7" s="52"/>
      <c r="H7" s="52"/>
      <c r="I7" s="52"/>
      <c r="J7" s="52"/>
      <c r="K7" s="52"/>
      <c r="L7" s="52"/>
      <c r="M7" s="52"/>
      <c r="N7" s="107"/>
      <c r="O7" s="107"/>
      <c r="P7" s="107"/>
    </row>
    <row r="8" spans="1:16" ht="15">
      <c r="B8" s="60"/>
      <c r="C8" s="56"/>
      <c r="D8" s="57"/>
      <c r="E8" s="58"/>
      <c r="F8" s="58"/>
      <c r="G8" s="58"/>
      <c r="H8" s="58"/>
      <c r="I8" s="58"/>
      <c r="J8" s="58"/>
      <c r="K8" s="58"/>
      <c r="L8" s="58"/>
      <c r="M8" s="58"/>
      <c r="N8" s="107"/>
      <c r="O8" s="107"/>
      <c r="P8" s="107"/>
    </row>
    <row r="9" spans="1:16" ht="1.5" customHeight="1" thickBot="1">
      <c r="B9" s="63"/>
      <c r="C9" s="63"/>
      <c r="D9" s="63"/>
      <c r="E9" s="63"/>
      <c r="F9" s="63"/>
      <c r="G9" s="63"/>
      <c r="H9" s="1"/>
      <c r="I9" s="63"/>
      <c r="J9" s="1"/>
      <c r="K9" s="1"/>
      <c r="L9" s="63"/>
      <c r="M9" s="63"/>
    </row>
    <row r="10" spans="1:16" ht="15">
      <c r="A10" s="3"/>
      <c r="B10" s="253" t="s">
        <v>0</v>
      </c>
      <c r="C10" s="255" t="s">
        <v>1</v>
      </c>
      <c r="D10" s="253"/>
      <c r="E10" s="257" t="s">
        <v>2</v>
      </c>
      <c r="F10" s="258"/>
      <c r="G10" s="258"/>
      <c r="H10" s="18" t="s">
        <v>3</v>
      </c>
      <c r="I10" s="19" t="s">
        <v>4</v>
      </c>
      <c r="J10" s="30" t="s">
        <v>5</v>
      </c>
      <c r="K10" s="31" t="s">
        <v>6</v>
      </c>
      <c r="L10" s="31" t="s">
        <v>7</v>
      </c>
      <c r="M10" s="259" t="s">
        <v>8</v>
      </c>
      <c r="N10" s="255"/>
    </row>
    <row r="11" spans="1:16" ht="15">
      <c r="A11" s="9"/>
      <c r="B11" s="254"/>
      <c r="C11" s="256"/>
      <c r="D11" s="254"/>
      <c r="E11" s="20" t="s">
        <v>9</v>
      </c>
      <c r="F11" s="33" t="s">
        <v>10</v>
      </c>
      <c r="G11" s="10" t="s">
        <v>854</v>
      </c>
      <c r="H11" s="21"/>
      <c r="I11" s="22"/>
      <c r="J11" s="32"/>
      <c r="K11" s="33"/>
      <c r="L11" s="33"/>
      <c r="M11" s="260" t="s">
        <v>11</v>
      </c>
      <c r="N11" s="261"/>
    </row>
    <row r="12" spans="1:16" ht="15.75" thickBot="1">
      <c r="A12" s="3"/>
      <c r="B12" s="11"/>
      <c r="C12" s="12" t="s">
        <v>12</v>
      </c>
      <c r="D12" s="11" t="s">
        <v>13</v>
      </c>
      <c r="E12" s="23" t="s">
        <v>14</v>
      </c>
      <c r="F12" s="133" t="s">
        <v>15</v>
      </c>
      <c r="G12" s="134" t="s">
        <v>15</v>
      </c>
      <c r="H12" s="25" t="s">
        <v>16</v>
      </c>
      <c r="I12" s="26" t="s">
        <v>17</v>
      </c>
      <c r="J12" s="34"/>
      <c r="K12" s="35" t="s">
        <v>18</v>
      </c>
      <c r="L12" s="36" t="s">
        <v>19</v>
      </c>
      <c r="M12" s="37" t="s">
        <v>20</v>
      </c>
      <c r="N12" s="43" t="s">
        <v>21</v>
      </c>
    </row>
    <row r="13" spans="1:16" ht="15.75" thickBot="1">
      <c r="A13" s="2"/>
      <c r="B13" s="13" t="s">
        <v>22</v>
      </c>
      <c r="C13" s="14">
        <v>0.37</v>
      </c>
      <c r="D13" s="15">
        <v>0.5</v>
      </c>
      <c r="E13" s="27">
        <v>1</v>
      </c>
      <c r="F13" s="28">
        <v>10.5</v>
      </c>
      <c r="G13" s="186">
        <v>11.8</v>
      </c>
      <c r="H13" s="27" t="s">
        <v>23</v>
      </c>
      <c r="I13" s="28">
        <v>2900</v>
      </c>
      <c r="J13" s="38" t="s">
        <v>566</v>
      </c>
      <c r="K13" s="39">
        <v>26</v>
      </c>
      <c r="L13" s="40">
        <f>0.497*0.27*0.3</f>
        <v>4.0257000000000001E-2</v>
      </c>
      <c r="M13" s="246">
        <v>399.28716000000003</v>
      </c>
      <c r="N13" s="247">
        <v>493.67591999999996</v>
      </c>
    </row>
    <row r="14" spans="1:16" ht="15.75" thickBot="1">
      <c r="A14" s="2"/>
      <c r="B14" s="13" t="s">
        <v>25</v>
      </c>
      <c r="C14" s="14">
        <v>0.37</v>
      </c>
      <c r="D14" s="15">
        <v>0.5</v>
      </c>
      <c r="E14" s="27">
        <v>1</v>
      </c>
      <c r="F14" s="28">
        <v>16</v>
      </c>
      <c r="G14" s="186">
        <v>17.5</v>
      </c>
      <c r="H14" s="27" t="s">
        <v>23</v>
      </c>
      <c r="I14" s="28">
        <v>2900</v>
      </c>
      <c r="J14" s="38" t="s">
        <v>566</v>
      </c>
      <c r="K14" s="39">
        <v>26</v>
      </c>
      <c r="L14" s="42">
        <f>0.517*0.27*0.3</f>
        <v>4.1877000000000004E-2</v>
      </c>
      <c r="M14" s="246">
        <v>442.75140000000005</v>
      </c>
      <c r="N14" s="247">
        <v>527.73371999999995</v>
      </c>
    </row>
    <row r="15" spans="1:16" ht="15.75" thickBot="1">
      <c r="A15" s="2"/>
      <c r="B15" s="13" t="s">
        <v>27</v>
      </c>
      <c r="C15" s="14">
        <v>0.37</v>
      </c>
      <c r="D15" s="15">
        <v>0.5</v>
      </c>
      <c r="E15" s="27">
        <v>1</v>
      </c>
      <c r="F15" s="28">
        <v>21.5</v>
      </c>
      <c r="G15" s="186">
        <v>23.5</v>
      </c>
      <c r="H15" s="27" t="s">
        <v>23</v>
      </c>
      <c r="I15" s="28">
        <v>2900</v>
      </c>
      <c r="J15" s="38" t="s">
        <v>566</v>
      </c>
      <c r="K15" s="39">
        <v>27</v>
      </c>
      <c r="L15" s="42">
        <f>0.537*0.27*0.3</f>
        <v>4.3497000000000001E-2</v>
      </c>
      <c r="M15" s="246">
        <v>470.32200000000006</v>
      </c>
      <c r="N15" s="247">
        <v>555.62868000000003</v>
      </c>
    </row>
    <row r="16" spans="1:16" ht="15.75" thickBot="1">
      <c r="A16" s="2"/>
      <c r="B16" s="13" t="s">
        <v>29</v>
      </c>
      <c r="C16" s="14">
        <v>0.37</v>
      </c>
      <c r="D16" s="15">
        <v>0.5</v>
      </c>
      <c r="E16" s="27">
        <v>1</v>
      </c>
      <c r="F16" s="28">
        <v>27</v>
      </c>
      <c r="G16" s="186">
        <v>29</v>
      </c>
      <c r="H16" s="27" t="s">
        <v>23</v>
      </c>
      <c r="I16" s="28">
        <v>2900</v>
      </c>
      <c r="J16" s="38" t="s">
        <v>566</v>
      </c>
      <c r="K16" s="39">
        <v>27</v>
      </c>
      <c r="L16" s="42">
        <f>0.557*0.27*0.3</f>
        <v>4.5117000000000004E-2</v>
      </c>
      <c r="M16" s="246">
        <v>520.27344000000005</v>
      </c>
      <c r="N16" s="247">
        <v>605.90448000000015</v>
      </c>
    </row>
    <row r="17" spans="1:14" ht="15.75" thickBot="1">
      <c r="A17" s="2"/>
      <c r="B17" s="13" t="s">
        <v>31</v>
      </c>
      <c r="C17" s="14">
        <v>0.37</v>
      </c>
      <c r="D17" s="15">
        <v>0.5</v>
      </c>
      <c r="E17" s="27">
        <v>1</v>
      </c>
      <c r="F17" s="28">
        <v>32.5</v>
      </c>
      <c r="G17" s="186">
        <v>35</v>
      </c>
      <c r="H17" s="27" t="s">
        <v>23</v>
      </c>
      <c r="I17" s="28">
        <v>2900</v>
      </c>
      <c r="J17" s="38" t="s">
        <v>566</v>
      </c>
      <c r="K17" s="39">
        <v>28</v>
      </c>
      <c r="L17" s="42">
        <f>0.577*0.27*0.3</f>
        <v>4.6737000000000001E-2</v>
      </c>
      <c r="M17" s="246">
        <v>581.57748000000015</v>
      </c>
      <c r="N17" s="247">
        <v>666.88415999999995</v>
      </c>
    </row>
    <row r="18" spans="1:14" ht="15.75" thickBot="1">
      <c r="A18" s="2"/>
      <c r="B18" s="13" t="s">
        <v>33</v>
      </c>
      <c r="C18" s="14">
        <v>0.37</v>
      </c>
      <c r="D18" s="15">
        <v>0.5</v>
      </c>
      <c r="E18" s="27">
        <v>1</v>
      </c>
      <c r="F18" s="28">
        <v>39</v>
      </c>
      <c r="G18" s="186">
        <v>41</v>
      </c>
      <c r="H18" s="27" t="s">
        <v>23</v>
      </c>
      <c r="I18" s="28">
        <v>2900</v>
      </c>
      <c r="J18" s="38" t="s">
        <v>566</v>
      </c>
      <c r="K18" s="39">
        <v>28</v>
      </c>
      <c r="L18" s="42">
        <f>0.597*0.27*0.3</f>
        <v>4.8356999999999997E-2</v>
      </c>
      <c r="M18" s="246">
        <v>620.82504000000006</v>
      </c>
      <c r="N18" s="247">
        <v>706.13171999999997</v>
      </c>
    </row>
    <row r="19" spans="1:14" ht="15.75" thickBot="1">
      <c r="A19" s="2"/>
      <c r="B19" s="13" t="s">
        <v>35</v>
      </c>
      <c r="C19" s="14">
        <v>0.55000000000000004</v>
      </c>
      <c r="D19" s="15">
        <v>0.75</v>
      </c>
      <c r="E19" s="27">
        <v>1</v>
      </c>
      <c r="F19" s="28">
        <v>43.5</v>
      </c>
      <c r="G19" s="186">
        <v>47</v>
      </c>
      <c r="H19" s="27" t="s">
        <v>23</v>
      </c>
      <c r="I19" s="28">
        <v>2900</v>
      </c>
      <c r="J19" s="38" t="s">
        <v>566</v>
      </c>
      <c r="K19" s="39">
        <v>30</v>
      </c>
      <c r="L19" s="42">
        <f>0.617*0.27*0.3</f>
        <v>4.9977000000000001E-2</v>
      </c>
      <c r="M19" s="246">
        <v>664.28928000000019</v>
      </c>
      <c r="N19" s="247">
        <v>750.24468000000013</v>
      </c>
    </row>
    <row r="20" spans="1:14" ht="15.75" thickBot="1">
      <c r="A20" s="2"/>
      <c r="B20" s="13" t="s">
        <v>37</v>
      </c>
      <c r="C20" s="14">
        <v>0.55000000000000004</v>
      </c>
      <c r="D20" s="15">
        <v>0.75</v>
      </c>
      <c r="E20" s="27">
        <v>1</v>
      </c>
      <c r="F20" s="28">
        <v>49</v>
      </c>
      <c r="G20" s="186">
        <v>52.5</v>
      </c>
      <c r="H20" s="27" t="s">
        <v>23</v>
      </c>
      <c r="I20" s="28">
        <v>2900</v>
      </c>
      <c r="J20" s="38" t="s">
        <v>566</v>
      </c>
      <c r="K20" s="39">
        <v>31</v>
      </c>
      <c r="L20" s="42">
        <f>0.637*0.27*0.3</f>
        <v>5.1596999999999997E-2</v>
      </c>
      <c r="M20" s="246">
        <v>687.31884000000014</v>
      </c>
      <c r="N20" s="247">
        <v>772.62552000000005</v>
      </c>
    </row>
    <row r="21" spans="1:14" ht="15.75" thickBot="1">
      <c r="A21" s="2"/>
      <c r="B21" s="13" t="s">
        <v>39</v>
      </c>
      <c r="C21" s="14">
        <v>0.55000000000000004</v>
      </c>
      <c r="D21" s="15">
        <v>0.75</v>
      </c>
      <c r="E21" s="27">
        <v>1</v>
      </c>
      <c r="F21" s="28">
        <v>55</v>
      </c>
      <c r="G21" s="186">
        <v>58.5</v>
      </c>
      <c r="H21" s="27" t="s">
        <v>23</v>
      </c>
      <c r="I21" s="28">
        <v>2900</v>
      </c>
      <c r="J21" s="38" t="s">
        <v>566</v>
      </c>
      <c r="K21" s="39">
        <v>32</v>
      </c>
      <c r="L21" s="42">
        <f>0.657*0.27*0.3</f>
        <v>5.3217000000000007E-2</v>
      </c>
      <c r="M21" s="246">
        <v>719.75484000000006</v>
      </c>
      <c r="N21" s="247">
        <v>805.71024</v>
      </c>
    </row>
    <row r="22" spans="1:14" ht="15.75" thickBot="1">
      <c r="A22" s="2"/>
      <c r="B22" s="13" t="s">
        <v>41</v>
      </c>
      <c r="C22" s="14">
        <v>0.55000000000000004</v>
      </c>
      <c r="D22" s="15">
        <v>0.75</v>
      </c>
      <c r="E22" s="27">
        <v>1</v>
      </c>
      <c r="F22" s="28">
        <v>61</v>
      </c>
      <c r="G22" s="186">
        <v>64</v>
      </c>
      <c r="H22" s="27" t="s">
        <v>23</v>
      </c>
      <c r="I22" s="28">
        <v>2900</v>
      </c>
      <c r="J22" s="38" t="s">
        <v>566</v>
      </c>
      <c r="K22" s="39">
        <v>32</v>
      </c>
      <c r="L22" s="42">
        <f>0.677*0.27*0.3</f>
        <v>5.4837000000000011E-2</v>
      </c>
      <c r="M22" s="246">
        <v>770.03064000000006</v>
      </c>
      <c r="N22" s="247">
        <v>855.33732000000009</v>
      </c>
    </row>
    <row r="23" spans="1:14" ht="15.75" thickBot="1">
      <c r="A23" s="2"/>
      <c r="B23" s="13" t="s">
        <v>43</v>
      </c>
      <c r="C23" s="14">
        <v>0.75</v>
      </c>
      <c r="D23" s="15">
        <v>1</v>
      </c>
      <c r="E23" s="27">
        <v>1</v>
      </c>
      <c r="F23" s="28">
        <v>67</v>
      </c>
      <c r="G23" s="186">
        <v>70</v>
      </c>
      <c r="H23" s="27" t="s">
        <v>23</v>
      </c>
      <c r="I23" s="28">
        <v>2900</v>
      </c>
      <c r="J23" s="38" t="s">
        <v>566</v>
      </c>
      <c r="K23" s="39">
        <v>35</v>
      </c>
      <c r="L23" s="42">
        <f>0.737*0.287*0.3</f>
        <v>6.345569999999999E-2</v>
      </c>
      <c r="M23" s="246">
        <v>803.11536000000012</v>
      </c>
      <c r="N23" s="247">
        <v>888.42203999999992</v>
      </c>
    </row>
    <row r="24" spans="1:14" ht="15.75" thickBot="1">
      <c r="A24" s="2"/>
      <c r="B24" s="13" t="s">
        <v>45</v>
      </c>
      <c r="C24" s="14">
        <v>0.75</v>
      </c>
      <c r="D24" s="15">
        <v>1</v>
      </c>
      <c r="E24" s="27">
        <v>1</v>
      </c>
      <c r="F24" s="28">
        <v>73</v>
      </c>
      <c r="G24" s="186">
        <v>75.5</v>
      </c>
      <c r="H24" s="27" t="s">
        <v>23</v>
      </c>
      <c r="I24" s="28">
        <v>2900</v>
      </c>
      <c r="J24" s="38" t="s">
        <v>566</v>
      </c>
      <c r="K24" s="39">
        <v>36</v>
      </c>
      <c r="L24" s="42">
        <f>0.757*0.287*0.3</f>
        <v>6.5177699999999991E-2</v>
      </c>
      <c r="M24" s="246">
        <v>819.98208000000011</v>
      </c>
      <c r="N24" s="247">
        <v>905.28876000000014</v>
      </c>
    </row>
    <row r="25" spans="1:14" ht="15.75" thickBot="1">
      <c r="A25" s="16"/>
      <c r="B25" s="13" t="s">
        <v>47</v>
      </c>
      <c r="C25" s="14">
        <v>0.75</v>
      </c>
      <c r="D25" s="15">
        <v>1</v>
      </c>
      <c r="E25" s="27">
        <v>1</v>
      </c>
      <c r="F25" s="28">
        <v>84</v>
      </c>
      <c r="G25" s="186">
        <v>87.5</v>
      </c>
      <c r="H25" s="27" t="s">
        <v>23</v>
      </c>
      <c r="I25" s="28">
        <v>2900</v>
      </c>
      <c r="J25" s="38" t="s">
        <v>566</v>
      </c>
      <c r="K25" s="39">
        <v>37</v>
      </c>
      <c r="L25" s="42">
        <f>0.797*0.287*0.3</f>
        <v>6.8621699999999994E-2</v>
      </c>
      <c r="M25" s="246">
        <v>864.09503999999993</v>
      </c>
      <c r="N25" s="247">
        <v>950.05044000000009</v>
      </c>
    </row>
    <row r="26" spans="1:14" ht="15.75" thickBot="1">
      <c r="A26" s="2"/>
      <c r="B26" s="13" t="s">
        <v>49</v>
      </c>
      <c r="C26" s="14">
        <v>1.1000000000000001</v>
      </c>
      <c r="D26" s="15">
        <v>1.5</v>
      </c>
      <c r="E26" s="27">
        <v>1</v>
      </c>
      <c r="F26" s="28">
        <v>95</v>
      </c>
      <c r="G26" s="186">
        <v>99</v>
      </c>
      <c r="H26" s="27" t="s">
        <v>23</v>
      </c>
      <c r="I26" s="28">
        <v>2900</v>
      </c>
      <c r="J26" s="38" t="s">
        <v>566</v>
      </c>
      <c r="K26" s="39">
        <v>40</v>
      </c>
      <c r="L26" s="42">
        <f>0.837*0.287*0.3</f>
        <v>7.2065699999999983E-2</v>
      </c>
      <c r="M26" s="246">
        <v>880.63740000000007</v>
      </c>
      <c r="N26" s="247">
        <v>966.59280000000012</v>
      </c>
    </row>
    <row r="27" spans="1:14" ht="15.75" thickBot="1">
      <c r="A27" s="2"/>
      <c r="B27" s="13" t="s">
        <v>51</v>
      </c>
      <c r="C27" s="14">
        <v>1.1000000000000001</v>
      </c>
      <c r="D27" s="15">
        <v>1.5</v>
      </c>
      <c r="E27" s="27">
        <v>1</v>
      </c>
      <c r="F27" s="28">
        <v>106</v>
      </c>
      <c r="G27" s="186">
        <v>110</v>
      </c>
      <c r="H27" s="27" t="s">
        <v>23</v>
      </c>
      <c r="I27" s="28">
        <v>2900</v>
      </c>
      <c r="J27" s="38" t="s">
        <v>566</v>
      </c>
      <c r="K27" s="39">
        <v>41</v>
      </c>
      <c r="L27" s="42">
        <f>0.877*0.287*0.3</f>
        <v>7.5509699999999999E-2</v>
      </c>
      <c r="M27" s="246">
        <v>953.29404</v>
      </c>
      <c r="N27" s="247">
        <v>1038.9250800000002</v>
      </c>
    </row>
    <row r="28" spans="1:14" ht="15.75" thickBot="1">
      <c r="A28" s="2"/>
      <c r="B28" s="13" t="s">
        <v>53</v>
      </c>
      <c r="C28" s="14">
        <v>1.1000000000000001</v>
      </c>
      <c r="D28" s="15">
        <v>1.5</v>
      </c>
      <c r="E28" s="27">
        <v>1</v>
      </c>
      <c r="F28" s="28">
        <v>117</v>
      </c>
      <c r="G28" s="186">
        <v>122</v>
      </c>
      <c r="H28" s="27" t="s">
        <v>23</v>
      </c>
      <c r="I28" s="28">
        <v>2900</v>
      </c>
      <c r="J28" s="38" t="s">
        <v>566</v>
      </c>
      <c r="K28" s="39">
        <v>42</v>
      </c>
      <c r="L28" s="42">
        <f>0.917*0.287*0.3</f>
        <v>7.8953700000000002E-2</v>
      </c>
      <c r="M28" s="246">
        <v>998.38008000000013</v>
      </c>
      <c r="N28" s="247">
        <v>1083.3624000000002</v>
      </c>
    </row>
    <row r="29" spans="1:14" ht="15.75" thickBot="1">
      <c r="A29" s="2"/>
      <c r="B29" s="13" t="s">
        <v>55</v>
      </c>
      <c r="C29" s="14">
        <v>1.1000000000000001</v>
      </c>
      <c r="D29" s="15">
        <v>1.5</v>
      </c>
      <c r="E29" s="27">
        <v>1</v>
      </c>
      <c r="F29" s="28">
        <v>122</v>
      </c>
      <c r="G29" s="186">
        <v>128</v>
      </c>
      <c r="H29" s="27" t="s">
        <v>23</v>
      </c>
      <c r="I29" s="28">
        <v>2900</v>
      </c>
      <c r="J29" s="38" t="s">
        <v>566</v>
      </c>
      <c r="K29" s="39">
        <v>43</v>
      </c>
      <c r="L29" s="42">
        <f>0.937*0.287*0.3</f>
        <v>8.0675700000000003E-2</v>
      </c>
      <c r="M29" s="246">
        <v>1039.24944</v>
      </c>
      <c r="N29" s="247">
        <v>1101.5265600000002</v>
      </c>
    </row>
    <row r="30" spans="1:14" ht="15.75" thickBot="1">
      <c r="A30" s="2"/>
      <c r="B30" s="13" t="s">
        <v>57</v>
      </c>
      <c r="C30" s="14">
        <v>1.5</v>
      </c>
      <c r="D30" s="15">
        <v>2</v>
      </c>
      <c r="E30" s="27">
        <v>1</v>
      </c>
      <c r="F30" s="28">
        <v>128</v>
      </c>
      <c r="G30" s="186">
        <v>134</v>
      </c>
      <c r="H30" s="27" t="s">
        <v>23</v>
      </c>
      <c r="I30" s="28">
        <v>2900</v>
      </c>
      <c r="J30" s="38" t="s">
        <v>566</v>
      </c>
      <c r="K30" s="39">
        <v>49</v>
      </c>
      <c r="L30" s="42">
        <f>1.002*0.3*0.3</f>
        <v>9.0179999999999996E-2</v>
      </c>
      <c r="M30" s="246">
        <v>1128.12408</v>
      </c>
      <c r="N30" s="247">
        <v>1213.4307600000002</v>
      </c>
    </row>
    <row r="31" spans="1:14" ht="15.75" thickBot="1">
      <c r="A31" s="2"/>
      <c r="B31" s="13" t="s">
        <v>59</v>
      </c>
      <c r="C31" s="14">
        <v>1.5</v>
      </c>
      <c r="D31" s="15">
        <v>2</v>
      </c>
      <c r="E31" s="27">
        <v>1</v>
      </c>
      <c r="F31" s="28">
        <v>139</v>
      </c>
      <c r="G31" s="186">
        <v>146</v>
      </c>
      <c r="H31" s="27" t="s">
        <v>23</v>
      </c>
      <c r="I31" s="28">
        <v>2900</v>
      </c>
      <c r="J31" s="38" t="s">
        <v>566</v>
      </c>
      <c r="K31" s="39">
        <v>51</v>
      </c>
      <c r="L31" s="42">
        <f>1.052*0.3*0.3</f>
        <v>9.468E-2</v>
      </c>
      <c r="M31" s="246">
        <v>1149.5318399999999</v>
      </c>
      <c r="N31" s="247">
        <v>1234.83852</v>
      </c>
    </row>
    <row r="32" spans="1:14" ht="15.75" thickBot="1">
      <c r="A32" s="2"/>
      <c r="B32" s="13" t="s">
        <v>61</v>
      </c>
      <c r="C32" s="14">
        <v>1.5</v>
      </c>
      <c r="D32" s="15">
        <v>2</v>
      </c>
      <c r="E32" s="27">
        <v>1</v>
      </c>
      <c r="F32" s="28">
        <v>150</v>
      </c>
      <c r="G32" s="186">
        <v>158</v>
      </c>
      <c r="H32" s="27" t="s">
        <v>23</v>
      </c>
      <c r="I32" s="28">
        <v>2900</v>
      </c>
      <c r="J32" s="38" t="s">
        <v>566</v>
      </c>
      <c r="K32" s="39">
        <v>52</v>
      </c>
      <c r="L32" s="42">
        <f>1.092*0.3*0.3</f>
        <v>9.8279999999999992E-2</v>
      </c>
      <c r="M32" s="246">
        <v>1185.8601600000002</v>
      </c>
      <c r="N32" s="247">
        <v>1271.1668400000001</v>
      </c>
    </row>
    <row r="33" spans="1:14" ht="15.75" thickBot="1">
      <c r="A33" s="2"/>
      <c r="B33" s="13" t="s">
        <v>63</v>
      </c>
      <c r="C33" s="14">
        <v>1.5</v>
      </c>
      <c r="D33" s="15">
        <v>2</v>
      </c>
      <c r="E33" s="27">
        <v>1</v>
      </c>
      <c r="F33" s="28">
        <v>167</v>
      </c>
      <c r="G33" s="186">
        <v>175</v>
      </c>
      <c r="H33" s="27" t="s">
        <v>23</v>
      </c>
      <c r="I33" s="28">
        <v>2900</v>
      </c>
      <c r="J33" s="38" t="s">
        <v>566</v>
      </c>
      <c r="K33" s="39">
        <v>53</v>
      </c>
      <c r="L33" s="42">
        <f>1.152*0.3*0.3</f>
        <v>0.10367999999999998</v>
      </c>
      <c r="M33" s="246">
        <v>1212.7820400000001</v>
      </c>
      <c r="N33" s="247">
        <v>1297.44</v>
      </c>
    </row>
    <row r="34" spans="1:14" ht="15.75" thickBot="1">
      <c r="A34" s="2"/>
      <c r="B34" s="13" t="s">
        <v>65</v>
      </c>
      <c r="C34" s="14">
        <v>2.2000000000000002</v>
      </c>
      <c r="D34" s="15">
        <v>3</v>
      </c>
      <c r="E34" s="27">
        <v>1</v>
      </c>
      <c r="F34" s="28">
        <v>180</v>
      </c>
      <c r="G34" s="186">
        <v>189</v>
      </c>
      <c r="H34" s="27" t="s">
        <v>23</v>
      </c>
      <c r="I34" s="28">
        <v>2900</v>
      </c>
      <c r="J34" s="38" t="s">
        <v>566</v>
      </c>
      <c r="K34" s="39">
        <v>57</v>
      </c>
      <c r="L34" s="42">
        <f>1.192*0.3*0.3</f>
        <v>0.10727999999999999</v>
      </c>
      <c r="M34" s="246">
        <v>1449.2404800000002</v>
      </c>
      <c r="N34" s="247">
        <v>1533.2497200000003</v>
      </c>
    </row>
    <row r="35" spans="1:14" ht="15.75" thickBot="1">
      <c r="A35" s="2"/>
      <c r="B35" s="13" t="s">
        <v>66</v>
      </c>
      <c r="C35" s="14">
        <v>2.2000000000000002</v>
      </c>
      <c r="D35" s="15">
        <v>3</v>
      </c>
      <c r="E35" s="27">
        <v>1</v>
      </c>
      <c r="F35" s="28">
        <v>186</v>
      </c>
      <c r="G35" s="186">
        <v>195</v>
      </c>
      <c r="H35" s="27" t="s">
        <v>23</v>
      </c>
      <c r="I35" s="28">
        <v>2900</v>
      </c>
      <c r="J35" s="38" t="s">
        <v>566</v>
      </c>
      <c r="K35" s="39">
        <v>57</v>
      </c>
      <c r="L35" s="42">
        <f>1.212*0.3*0.3</f>
        <v>0.10908</v>
      </c>
      <c r="M35" s="246">
        <v>1568.6049600000001</v>
      </c>
      <c r="N35" s="247">
        <v>1653.91164</v>
      </c>
    </row>
    <row r="36" spans="1:14" ht="15.75" thickBot="1">
      <c r="A36" s="2"/>
      <c r="B36" s="13" t="s">
        <v>68</v>
      </c>
      <c r="C36" s="14">
        <v>2.2000000000000002</v>
      </c>
      <c r="D36" s="15">
        <v>3</v>
      </c>
      <c r="E36" s="27">
        <v>1</v>
      </c>
      <c r="F36" s="28">
        <v>192</v>
      </c>
      <c r="G36" s="186">
        <v>200</v>
      </c>
      <c r="H36" s="27" t="s">
        <v>23</v>
      </c>
      <c r="I36" s="28">
        <v>2900</v>
      </c>
      <c r="J36" s="38" t="s">
        <v>566</v>
      </c>
      <c r="K36" s="39">
        <v>58</v>
      </c>
      <c r="L36" s="42">
        <f>1.232*0.3*0.3</f>
        <v>0.11087999999999999</v>
      </c>
      <c r="M36" s="246">
        <v>1597.79736</v>
      </c>
      <c r="N36" s="247">
        <v>1683.1040400000002</v>
      </c>
    </row>
    <row r="37" spans="1:14" ht="15.75" thickBot="1">
      <c r="A37" s="2"/>
      <c r="B37" s="13" t="s">
        <v>69</v>
      </c>
      <c r="C37" s="14">
        <v>2.2000000000000002</v>
      </c>
      <c r="D37" s="15">
        <v>3</v>
      </c>
      <c r="E37" s="27">
        <v>1</v>
      </c>
      <c r="F37" s="28">
        <v>203</v>
      </c>
      <c r="G37" s="186">
        <v>212</v>
      </c>
      <c r="H37" s="27" t="s">
        <v>23</v>
      </c>
      <c r="I37" s="28">
        <v>2900</v>
      </c>
      <c r="J37" s="38" t="s">
        <v>566</v>
      </c>
      <c r="K37" s="39">
        <v>59</v>
      </c>
      <c r="L37" s="42">
        <f>1.272*0.3*0.3</f>
        <v>0.11448</v>
      </c>
      <c r="M37" s="246">
        <v>1656.1821600000001</v>
      </c>
      <c r="N37" s="247">
        <v>1741.4888400000002</v>
      </c>
    </row>
    <row r="38" spans="1:14" ht="15.75" thickBot="1">
      <c r="A38" s="2"/>
      <c r="B38" s="13" t="s">
        <v>71</v>
      </c>
      <c r="C38" s="14">
        <v>2.2000000000000002</v>
      </c>
      <c r="D38" s="15">
        <v>3</v>
      </c>
      <c r="E38" s="27">
        <v>1</v>
      </c>
      <c r="F38" s="28">
        <v>215</v>
      </c>
      <c r="G38" s="186">
        <v>225</v>
      </c>
      <c r="H38" s="27" t="s">
        <v>23</v>
      </c>
      <c r="I38" s="28">
        <v>2900</v>
      </c>
      <c r="J38" s="38" t="s">
        <v>566</v>
      </c>
      <c r="K38" s="39">
        <v>59</v>
      </c>
      <c r="L38" s="42">
        <f>1.312*0.3*0.3</f>
        <v>0.11807999999999999</v>
      </c>
      <c r="M38" s="246">
        <v>1714.8913200000004</v>
      </c>
      <c r="N38" s="247">
        <v>1799.54928</v>
      </c>
    </row>
    <row r="39" spans="1:14" ht="15.75" thickBot="1">
      <c r="A39" s="2"/>
      <c r="B39" s="13" t="s">
        <v>72</v>
      </c>
      <c r="C39" s="14">
        <v>2.2000000000000002</v>
      </c>
      <c r="D39" s="15">
        <v>3</v>
      </c>
      <c r="E39" s="27">
        <v>1</v>
      </c>
      <c r="F39" s="28">
        <v>226</v>
      </c>
      <c r="G39" s="186">
        <v>237</v>
      </c>
      <c r="H39" s="27" t="s">
        <v>23</v>
      </c>
      <c r="I39" s="28">
        <v>2900</v>
      </c>
      <c r="J39" s="38" t="s">
        <v>566</v>
      </c>
      <c r="K39" s="39">
        <v>61</v>
      </c>
      <c r="L39" s="42">
        <f>1.352*0.3*0.3</f>
        <v>0.12168</v>
      </c>
      <c r="M39" s="246">
        <v>1772.9517600000001</v>
      </c>
      <c r="N39" s="247">
        <v>1858.2584400000001</v>
      </c>
    </row>
    <row r="40" spans="1:14" ht="15.75" thickBot="1">
      <c r="A40" s="2"/>
      <c r="B40" s="13" t="s">
        <v>73</v>
      </c>
      <c r="C40" s="14">
        <v>0.37</v>
      </c>
      <c r="D40" s="15">
        <v>0.5</v>
      </c>
      <c r="E40" s="27">
        <v>3</v>
      </c>
      <c r="F40" s="28">
        <v>11</v>
      </c>
      <c r="G40" s="186">
        <v>14.7</v>
      </c>
      <c r="H40" s="27" t="s">
        <v>23</v>
      </c>
      <c r="I40" s="28">
        <v>2900</v>
      </c>
      <c r="J40" s="38" t="s">
        <v>566</v>
      </c>
      <c r="K40" s="39">
        <v>27</v>
      </c>
      <c r="L40" s="42">
        <f>0.497*0.27*0.3</f>
        <v>4.0257000000000001E-2</v>
      </c>
      <c r="M40" s="246">
        <v>411.61284000000006</v>
      </c>
      <c r="N40" s="247">
        <v>499.51440000000002</v>
      </c>
    </row>
    <row r="41" spans="1:14" ht="15.75" thickBot="1">
      <c r="A41" s="2"/>
      <c r="B41" s="13" t="s">
        <v>74</v>
      </c>
      <c r="C41" s="14">
        <v>0.37</v>
      </c>
      <c r="D41" s="15">
        <v>0.5</v>
      </c>
      <c r="E41" s="27">
        <v>3</v>
      </c>
      <c r="F41" s="28">
        <v>17</v>
      </c>
      <c r="G41" s="186">
        <v>22.2</v>
      </c>
      <c r="H41" s="27" t="s">
        <v>23</v>
      </c>
      <c r="I41" s="28">
        <v>2900</v>
      </c>
      <c r="J41" s="38" t="s">
        <v>566</v>
      </c>
      <c r="K41" s="39">
        <v>27</v>
      </c>
      <c r="L41" s="42">
        <f>0.517*0.27*0.3</f>
        <v>4.1877000000000004E-2</v>
      </c>
      <c r="M41" s="246">
        <v>466.42968000000008</v>
      </c>
      <c r="N41" s="247">
        <v>555.62868000000003</v>
      </c>
    </row>
    <row r="42" spans="1:14" ht="15.75" thickBot="1">
      <c r="A42" s="16"/>
      <c r="B42" s="13" t="s">
        <v>75</v>
      </c>
      <c r="C42" s="14">
        <v>0.37</v>
      </c>
      <c r="D42" s="15">
        <v>0.5</v>
      </c>
      <c r="E42" s="27">
        <v>3</v>
      </c>
      <c r="F42" s="28">
        <v>23</v>
      </c>
      <c r="G42" s="186">
        <v>29.7</v>
      </c>
      <c r="H42" s="27" t="s">
        <v>23</v>
      </c>
      <c r="I42" s="28">
        <v>2900</v>
      </c>
      <c r="J42" s="38" t="s">
        <v>566</v>
      </c>
      <c r="K42" s="39">
        <v>28</v>
      </c>
      <c r="L42" s="42">
        <f>0.537*0.27*0.3</f>
        <v>4.3497000000000001E-2</v>
      </c>
      <c r="M42" s="246">
        <v>520.92216000000008</v>
      </c>
      <c r="N42" s="247">
        <v>610.12116000000003</v>
      </c>
    </row>
    <row r="43" spans="1:14" ht="15.75" thickBot="1">
      <c r="A43" s="2"/>
      <c r="B43" s="13" t="s">
        <v>76</v>
      </c>
      <c r="C43" s="14">
        <v>0.55000000000000004</v>
      </c>
      <c r="D43" s="15">
        <v>0.75</v>
      </c>
      <c r="E43" s="27">
        <v>3</v>
      </c>
      <c r="F43" s="28">
        <v>29</v>
      </c>
      <c r="G43" s="186">
        <v>37.200000000000003</v>
      </c>
      <c r="H43" s="27" t="s">
        <v>23</v>
      </c>
      <c r="I43" s="28">
        <v>2900</v>
      </c>
      <c r="J43" s="38" t="s">
        <v>566</v>
      </c>
      <c r="K43" s="39">
        <v>29</v>
      </c>
      <c r="L43" s="42">
        <f>0.557*0.27*0.3</f>
        <v>4.5117000000000004E-2</v>
      </c>
      <c r="M43" s="246">
        <v>578.33388000000002</v>
      </c>
      <c r="N43" s="247">
        <v>673.37135999999998</v>
      </c>
    </row>
    <row r="44" spans="1:14" ht="15.75" thickBot="1">
      <c r="A44" s="2"/>
      <c r="B44" s="13" t="s">
        <v>77</v>
      </c>
      <c r="C44" s="14">
        <v>0.55000000000000004</v>
      </c>
      <c r="D44" s="15">
        <v>0.75</v>
      </c>
      <c r="E44" s="27">
        <v>3</v>
      </c>
      <c r="F44" s="28">
        <v>35</v>
      </c>
      <c r="G44" s="186">
        <v>45</v>
      </c>
      <c r="H44" s="27" t="s">
        <v>23</v>
      </c>
      <c r="I44" s="28">
        <v>2900</v>
      </c>
      <c r="J44" s="38" t="s">
        <v>566</v>
      </c>
      <c r="K44" s="39">
        <v>30</v>
      </c>
      <c r="L44" s="42">
        <f>0.577*0.27*0.3</f>
        <v>4.6737000000000001E-2</v>
      </c>
      <c r="M44" s="246">
        <v>610.76988000000006</v>
      </c>
      <c r="N44" s="247">
        <v>706.13171999999997</v>
      </c>
    </row>
    <row r="45" spans="1:14" ht="15.75" thickBot="1">
      <c r="A45" s="2"/>
      <c r="B45" s="13" t="s">
        <v>78</v>
      </c>
      <c r="C45" s="14">
        <v>0.75</v>
      </c>
      <c r="D45" s="15">
        <v>1</v>
      </c>
      <c r="E45" s="27">
        <v>3</v>
      </c>
      <c r="F45" s="28">
        <v>41</v>
      </c>
      <c r="G45" s="186">
        <v>52.5</v>
      </c>
      <c r="H45" s="27" t="s">
        <v>23</v>
      </c>
      <c r="I45" s="28">
        <v>2900</v>
      </c>
      <c r="J45" s="38" t="s">
        <v>566</v>
      </c>
      <c r="K45" s="39">
        <v>34</v>
      </c>
      <c r="L45" s="42">
        <f>0.637*0.287*0.3</f>
        <v>5.484569999999999E-2</v>
      </c>
      <c r="M45" s="246">
        <v>693.48167999999998</v>
      </c>
      <c r="N45" s="247">
        <v>788.84352000000001</v>
      </c>
    </row>
    <row r="46" spans="1:14" ht="15.75" thickBot="1">
      <c r="A46" s="2"/>
      <c r="B46" s="13" t="s">
        <v>79</v>
      </c>
      <c r="C46" s="14">
        <v>0.75</v>
      </c>
      <c r="D46" s="15">
        <v>1</v>
      </c>
      <c r="E46" s="27">
        <v>3</v>
      </c>
      <c r="F46" s="28">
        <v>47</v>
      </c>
      <c r="G46" s="186">
        <v>60</v>
      </c>
      <c r="H46" s="27" t="s">
        <v>23</v>
      </c>
      <c r="I46" s="28">
        <v>2900</v>
      </c>
      <c r="J46" s="38" t="s">
        <v>566</v>
      </c>
      <c r="K46" s="39">
        <v>34</v>
      </c>
      <c r="L46" s="42">
        <f>0.657*0.287*0.3</f>
        <v>5.6567699999999999E-2</v>
      </c>
      <c r="M46" s="246">
        <v>726.89076</v>
      </c>
      <c r="N46" s="247">
        <v>821.92824000000007</v>
      </c>
    </row>
    <row r="47" spans="1:14" ht="15.75" thickBot="1">
      <c r="A47" s="2"/>
      <c r="B47" s="13" t="s">
        <v>80</v>
      </c>
      <c r="C47" s="14">
        <v>1.1000000000000001</v>
      </c>
      <c r="D47" s="15">
        <v>1.5</v>
      </c>
      <c r="E47" s="27">
        <v>3</v>
      </c>
      <c r="F47" s="28">
        <v>53</v>
      </c>
      <c r="G47" s="186">
        <v>67.5</v>
      </c>
      <c r="H47" s="27" t="s">
        <v>23</v>
      </c>
      <c r="I47" s="28">
        <v>2900</v>
      </c>
      <c r="J47" s="38" t="s">
        <v>566</v>
      </c>
      <c r="K47" s="39">
        <v>36</v>
      </c>
      <c r="L47" s="42">
        <f>0.677*0.287*0.3</f>
        <v>5.82897E-2</v>
      </c>
      <c r="M47" s="246">
        <v>754.13700000000006</v>
      </c>
      <c r="N47" s="247">
        <v>848.52576000000022</v>
      </c>
    </row>
    <row r="48" spans="1:14" ht="15.75" thickBot="1">
      <c r="A48" s="2"/>
      <c r="B48" s="13" t="s">
        <v>81</v>
      </c>
      <c r="C48" s="14">
        <v>1.1000000000000001</v>
      </c>
      <c r="D48" s="15">
        <v>1.5</v>
      </c>
      <c r="E48" s="27">
        <v>3</v>
      </c>
      <c r="F48" s="28">
        <v>59</v>
      </c>
      <c r="G48" s="186">
        <v>75</v>
      </c>
      <c r="H48" s="27" t="s">
        <v>23</v>
      </c>
      <c r="I48" s="28">
        <v>2900</v>
      </c>
      <c r="J48" s="38" t="s">
        <v>566</v>
      </c>
      <c r="K48" s="39">
        <v>37</v>
      </c>
      <c r="L48" s="42">
        <f>0.697*0.287*0.3</f>
        <v>6.0011699999999987E-2</v>
      </c>
      <c r="M48" s="246">
        <v>775.54476</v>
      </c>
      <c r="N48" s="247">
        <v>871.23096000000021</v>
      </c>
    </row>
    <row r="49" spans="1:14" ht="15.75" thickBot="1">
      <c r="A49" s="2"/>
      <c r="B49" s="13" t="s">
        <v>82</v>
      </c>
      <c r="C49" s="14">
        <v>1.1000000000000001</v>
      </c>
      <c r="D49" s="15">
        <v>1.5</v>
      </c>
      <c r="E49" s="27">
        <v>3</v>
      </c>
      <c r="F49" s="28">
        <v>65</v>
      </c>
      <c r="G49" s="186">
        <v>82.5</v>
      </c>
      <c r="H49" s="27" t="s">
        <v>23</v>
      </c>
      <c r="I49" s="28">
        <v>2900</v>
      </c>
      <c r="J49" s="38" t="s">
        <v>566</v>
      </c>
      <c r="K49" s="39">
        <v>37</v>
      </c>
      <c r="L49" s="42">
        <f>0.717*0.287*0.3</f>
        <v>6.1733699999999989E-2</v>
      </c>
      <c r="M49" s="246">
        <v>827.76672000000008</v>
      </c>
      <c r="N49" s="247">
        <v>923.12856000000011</v>
      </c>
    </row>
    <row r="50" spans="1:14" ht="15.75" thickBot="1">
      <c r="A50" s="2"/>
      <c r="B50" s="13" t="s">
        <v>83</v>
      </c>
      <c r="C50" s="14">
        <v>1.1000000000000001</v>
      </c>
      <c r="D50" s="15">
        <v>1.5</v>
      </c>
      <c r="E50" s="27">
        <v>3</v>
      </c>
      <c r="F50" s="28">
        <v>71</v>
      </c>
      <c r="G50" s="186">
        <v>90</v>
      </c>
      <c r="H50" s="27" t="s">
        <v>23</v>
      </c>
      <c r="I50" s="28">
        <v>2900</v>
      </c>
      <c r="J50" s="38" t="s">
        <v>566</v>
      </c>
      <c r="K50" s="39">
        <v>38</v>
      </c>
      <c r="L50" s="42">
        <f>0.737*0.287*0.3</f>
        <v>6.345569999999999E-2</v>
      </c>
      <c r="M50" s="246">
        <v>880.63740000000007</v>
      </c>
      <c r="N50" s="247">
        <v>975.02616000000012</v>
      </c>
    </row>
    <row r="51" spans="1:14" ht="15.75" thickBot="1">
      <c r="A51" s="2"/>
      <c r="B51" s="13" t="s">
        <v>84</v>
      </c>
      <c r="C51" s="14">
        <v>1.5</v>
      </c>
      <c r="D51" s="15">
        <v>2</v>
      </c>
      <c r="E51" s="27">
        <v>3</v>
      </c>
      <c r="F51" s="28">
        <v>77</v>
      </c>
      <c r="G51" s="186">
        <v>98</v>
      </c>
      <c r="H51" s="27" t="s">
        <v>23</v>
      </c>
      <c r="I51" s="28">
        <v>2900</v>
      </c>
      <c r="J51" s="38" t="s">
        <v>566</v>
      </c>
      <c r="K51" s="39">
        <v>44</v>
      </c>
      <c r="L51" s="42">
        <f>0.812*0.3*0.3</f>
        <v>7.3080000000000006E-2</v>
      </c>
      <c r="M51" s="246">
        <v>928.64268000000015</v>
      </c>
      <c r="N51" s="247">
        <v>1023.3558</v>
      </c>
    </row>
    <row r="52" spans="1:14" ht="15.75" thickBot="1">
      <c r="A52" s="2"/>
      <c r="B52" s="13" t="s">
        <v>85</v>
      </c>
      <c r="C52" s="14">
        <v>1.5</v>
      </c>
      <c r="D52" s="15">
        <v>2</v>
      </c>
      <c r="E52" s="27">
        <v>3</v>
      </c>
      <c r="F52" s="28">
        <v>83</v>
      </c>
      <c r="G52" s="186">
        <v>105</v>
      </c>
      <c r="H52" s="27" t="s">
        <v>23</v>
      </c>
      <c r="I52" s="28">
        <v>2900</v>
      </c>
      <c r="J52" s="38" t="s">
        <v>566</v>
      </c>
      <c r="K52" s="39">
        <v>45</v>
      </c>
      <c r="L52" s="42">
        <f>0.832*0.3*0.3</f>
        <v>7.4879999999999988E-2</v>
      </c>
      <c r="M52" s="246">
        <v>942.26580000000013</v>
      </c>
      <c r="N52" s="247">
        <v>1036.97892</v>
      </c>
    </row>
    <row r="53" spans="1:14" ht="15.75" thickBot="1">
      <c r="A53" s="2"/>
      <c r="B53" s="13" t="s">
        <v>87</v>
      </c>
      <c r="C53" s="14">
        <v>1.5</v>
      </c>
      <c r="D53" s="15">
        <v>2</v>
      </c>
      <c r="E53" s="27">
        <v>3</v>
      </c>
      <c r="F53" s="28">
        <v>90</v>
      </c>
      <c r="G53" s="186">
        <v>113</v>
      </c>
      <c r="H53" s="27" t="s">
        <v>23</v>
      </c>
      <c r="I53" s="28">
        <v>2900</v>
      </c>
      <c r="J53" s="38" t="s">
        <v>566</v>
      </c>
      <c r="K53" s="39">
        <v>45</v>
      </c>
      <c r="L53" s="42">
        <f>0.852*0.3*0.3</f>
        <v>7.6679999999999998E-2</v>
      </c>
      <c r="M53" s="246">
        <v>966.59280000000012</v>
      </c>
      <c r="N53" s="247">
        <v>1061.6302800000001</v>
      </c>
    </row>
    <row r="54" spans="1:14" ht="15.75" thickBot="1">
      <c r="A54" s="2"/>
      <c r="B54" s="13" t="s">
        <v>88</v>
      </c>
      <c r="C54" s="14">
        <v>1.5</v>
      </c>
      <c r="D54" s="15">
        <v>2</v>
      </c>
      <c r="E54" s="27">
        <v>3</v>
      </c>
      <c r="F54" s="28">
        <v>96</v>
      </c>
      <c r="G54" s="186">
        <v>120</v>
      </c>
      <c r="H54" s="27" t="s">
        <v>23</v>
      </c>
      <c r="I54" s="28">
        <v>2900</v>
      </c>
      <c r="J54" s="38" t="s">
        <v>566</v>
      </c>
      <c r="K54" s="39">
        <v>46</v>
      </c>
      <c r="L54" s="42">
        <f>0.872*0.3*0.3</f>
        <v>7.8479999999999994E-2</v>
      </c>
      <c r="M54" s="246">
        <v>990.59544000000005</v>
      </c>
      <c r="N54" s="247">
        <v>1085.63292</v>
      </c>
    </row>
    <row r="55" spans="1:14" ht="15.75" thickBot="1">
      <c r="A55" s="2"/>
      <c r="B55" s="13" t="s">
        <v>90</v>
      </c>
      <c r="C55" s="14">
        <v>2.2000000000000002</v>
      </c>
      <c r="D55" s="15">
        <v>3</v>
      </c>
      <c r="E55" s="27">
        <v>3</v>
      </c>
      <c r="F55" s="28">
        <v>108</v>
      </c>
      <c r="G55" s="186">
        <v>136</v>
      </c>
      <c r="H55" s="27" t="s">
        <v>23</v>
      </c>
      <c r="I55" s="28">
        <v>2900</v>
      </c>
      <c r="J55" s="38" t="s">
        <v>566</v>
      </c>
      <c r="K55" s="39">
        <v>49</v>
      </c>
      <c r="L55" s="42">
        <f>0.912*0.3*0.3</f>
        <v>8.208E-2</v>
      </c>
      <c r="M55" s="246">
        <v>1027.24812</v>
      </c>
      <c r="N55" s="247">
        <v>1121.3125199999999</v>
      </c>
    </row>
    <row r="56" spans="1:14" ht="15.75" thickBot="1">
      <c r="A56" s="2"/>
      <c r="B56" s="13" t="s">
        <v>92</v>
      </c>
      <c r="C56" s="14">
        <v>2.2000000000000002</v>
      </c>
      <c r="D56" s="15">
        <v>3</v>
      </c>
      <c r="E56" s="27">
        <v>3</v>
      </c>
      <c r="F56" s="28">
        <v>114</v>
      </c>
      <c r="G56" s="186">
        <v>143</v>
      </c>
      <c r="H56" s="27" t="s">
        <v>23</v>
      </c>
      <c r="I56" s="28">
        <v>2900</v>
      </c>
      <c r="J56" s="38" t="s">
        <v>566</v>
      </c>
      <c r="K56" s="39">
        <v>50</v>
      </c>
      <c r="L56" s="42">
        <f>0.932*0.3*0.3</f>
        <v>8.3879999999999996E-2</v>
      </c>
      <c r="M56" s="246">
        <v>1043.1417600000002</v>
      </c>
      <c r="N56" s="247">
        <v>1138.5036</v>
      </c>
    </row>
    <row r="57" spans="1:14" ht="15.75" thickBot="1">
      <c r="A57" s="2"/>
      <c r="B57" s="13" t="s">
        <v>93</v>
      </c>
      <c r="C57" s="14">
        <v>2.2000000000000002</v>
      </c>
      <c r="D57" s="15">
        <v>3</v>
      </c>
      <c r="E57" s="27">
        <v>3</v>
      </c>
      <c r="F57" s="28">
        <v>120</v>
      </c>
      <c r="G57" s="186">
        <v>151</v>
      </c>
      <c r="H57" s="27" t="s">
        <v>23</v>
      </c>
      <c r="I57" s="28">
        <v>2900</v>
      </c>
      <c r="J57" s="38" t="s">
        <v>566</v>
      </c>
      <c r="K57" s="39">
        <v>50</v>
      </c>
      <c r="L57" s="42">
        <f>0.952*0.3*0.3</f>
        <v>8.5679999999999992E-2</v>
      </c>
      <c r="M57" s="246">
        <v>1059.6841199999999</v>
      </c>
      <c r="N57" s="247">
        <v>1154.39724</v>
      </c>
    </row>
    <row r="58" spans="1:14" ht="15.75" thickBot="1">
      <c r="A58" s="2"/>
      <c r="B58" s="13" t="s">
        <v>95</v>
      </c>
      <c r="C58" s="14">
        <v>2.2000000000000002</v>
      </c>
      <c r="D58" s="15">
        <v>3</v>
      </c>
      <c r="E58" s="27">
        <v>3</v>
      </c>
      <c r="F58" s="28">
        <v>126</v>
      </c>
      <c r="G58" s="186">
        <v>158</v>
      </c>
      <c r="H58" s="27" t="s">
        <v>23</v>
      </c>
      <c r="I58" s="28">
        <v>2900</v>
      </c>
      <c r="J58" s="38" t="s">
        <v>566</v>
      </c>
      <c r="K58" s="39">
        <v>51</v>
      </c>
      <c r="L58" s="42">
        <f>0.972*0.3*0.3</f>
        <v>8.7479999999999988E-2</v>
      </c>
      <c r="M58" s="246">
        <v>1113.5278800000003</v>
      </c>
      <c r="N58" s="247">
        <v>1209.5384399999998</v>
      </c>
    </row>
    <row r="59" spans="1:14" ht="15.75" thickBot="1">
      <c r="A59" s="2"/>
      <c r="B59" s="13" t="s">
        <v>96</v>
      </c>
      <c r="C59" s="14">
        <v>2.2000000000000002</v>
      </c>
      <c r="D59" s="15">
        <v>3</v>
      </c>
      <c r="E59" s="27">
        <v>3</v>
      </c>
      <c r="F59" s="28">
        <v>132</v>
      </c>
      <c r="G59" s="186">
        <v>166</v>
      </c>
      <c r="H59" s="27" t="s">
        <v>23</v>
      </c>
      <c r="I59" s="28">
        <v>2900</v>
      </c>
      <c r="J59" s="38" t="s">
        <v>566</v>
      </c>
      <c r="K59" s="39">
        <v>51</v>
      </c>
      <c r="L59" s="42">
        <f>0.992*0.3*0.3</f>
        <v>8.9279999999999984E-2</v>
      </c>
      <c r="M59" s="246">
        <v>1147.5856800000001</v>
      </c>
      <c r="N59" s="247">
        <v>1241.9744400000002</v>
      </c>
    </row>
    <row r="60" spans="1:14" ht="15.75" thickBot="1">
      <c r="A60" s="2"/>
      <c r="B60" s="13" t="s">
        <v>97</v>
      </c>
      <c r="C60" s="14">
        <v>2.2000000000000002</v>
      </c>
      <c r="D60" s="15">
        <v>3</v>
      </c>
      <c r="E60" s="27">
        <v>3</v>
      </c>
      <c r="F60" s="28">
        <v>138</v>
      </c>
      <c r="G60" s="186">
        <v>173</v>
      </c>
      <c r="H60" s="27" t="s">
        <v>23</v>
      </c>
      <c r="I60" s="28">
        <v>2900</v>
      </c>
      <c r="J60" s="38" t="s">
        <v>566</v>
      </c>
      <c r="K60" s="39">
        <v>52</v>
      </c>
      <c r="L60" s="42">
        <f>1.012*0.3*0.3</f>
        <v>9.1079999999999994E-2</v>
      </c>
      <c r="M60" s="246">
        <v>1180.3460400000001</v>
      </c>
      <c r="N60" s="247">
        <v>1274.4104400000001</v>
      </c>
    </row>
    <row r="61" spans="1:14" ht="15.75" thickBot="1">
      <c r="A61" s="2"/>
      <c r="B61" s="13" t="s">
        <v>98</v>
      </c>
      <c r="C61" s="14">
        <v>2.2000000000000002</v>
      </c>
      <c r="D61" s="15">
        <v>3</v>
      </c>
      <c r="E61" s="27">
        <v>3</v>
      </c>
      <c r="F61" s="28">
        <v>144</v>
      </c>
      <c r="G61" s="186">
        <v>181</v>
      </c>
      <c r="H61" s="27" t="s">
        <v>23</v>
      </c>
      <c r="I61" s="28">
        <v>2900</v>
      </c>
      <c r="J61" s="38" t="s">
        <v>566</v>
      </c>
      <c r="K61" s="39">
        <v>53</v>
      </c>
      <c r="L61" s="42">
        <f>1.032*0.3*0.3</f>
        <v>9.287999999999999E-2</v>
      </c>
      <c r="M61" s="246">
        <v>1212.1333199999999</v>
      </c>
      <c r="N61" s="247">
        <v>1306.52208</v>
      </c>
    </row>
    <row r="62" spans="1:14" ht="15.75" thickBot="1">
      <c r="A62" s="2"/>
      <c r="B62" s="13" t="s">
        <v>99</v>
      </c>
      <c r="C62" s="14">
        <v>3</v>
      </c>
      <c r="D62" s="15">
        <v>4</v>
      </c>
      <c r="E62" s="27">
        <v>3</v>
      </c>
      <c r="F62" s="28">
        <v>150</v>
      </c>
      <c r="G62" s="186">
        <v>188</v>
      </c>
      <c r="H62" s="27" t="s">
        <v>23</v>
      </c>
      <c r="I62" s="28">
        <v>2900</v>
      </c>
      <c r="J62" s="38" t="s">
        <v>566</v>
      </c>
      <c r="K62" s="39">
        <v>65</v>
      </c>
      <c r="L62" s="42">
        <f>1.117*0.31*0.33</f>
        <v>0.11426910000000001</v>
      </c>
      <c r="M62" s="246">
        <v>1249.7590800000003</v>
      </c>
      <c r="N62" s="247">
        <v>1344.7965600000002</v>
      </c>
    </row>
    <row r="63" spans="1:14" ht="15.75" thickBot="1">
      <c r="A63" s="2"/>
      <c r="B63" s="13" t="s">
        <v>100</v>
      </c>
      <c r="C63" s="14">
        <v>3</v>
      </c>
      <c r="D63" s="15">
        <v>4</v>
      </c>
      <c r="E63" s="27">
        <v>3</v>
      </c>
      <c r="F63" s="28">
        <v>162</v>
      </c>
      <c r="G63" s="186">
        <v>204</v>
      </c>
      <c r="H63" s="27" t="s">
        <v>23</v>
      </c>
      <c r="I63" s="28">
        <v>2900</v>
      </c>
      <c r="J63" s="38" t="s">
        <v>566</v>
      </c>
      <c r="K63" s="39">
        <v>66</v>
      </c>
      <c r="L63" s="42">
        <f>1.157*0.31*0.33</f>
        <v>0.1183611</v>
      </c>
      <c r="M63" s="246">
        <v>1298.08872</v>
      </c>
      <c r="N63" s="247">
        <v>1392.4774800000002</v>
      </c>
    </row>
    <row r="64" spans="1:14" ht="15.75" thickBot="1">
      <c r="A64" s="2"/>
      <c r="B64" s="13" t="s">
        <v>101</v>
      </c>
      <c r="C64" s="14">
        <v>3</v>
      </c>
      <c r="D64" s="15">
        <v>4</v>
      </c>
      <c r="E64" s="27">
        <v>3</v>
      </c>
      <c r="F64" s="28">
        <v>168</v>
      </c>
      <c r="G64" s="186">
        <v>212</v>
      </c>
      <c r="H64" s="27" t="s">
        <v>23</v>
      </c>
      <c r="I64" s="28">
        <v>2900</v>
      </c>
      <c r="J64" s="38" t="s">
        <v>566</v>
      </c>
      <c r="K64" s="39">
        <v>66</v>
      </c>
      <c r="L64" s="42">
        <f>1.177*0.31*0.33</f>
        <v>0.12040710000000002</v>
      </c>
      <c r="M64" s="246">
        <v>1322.4157200000002</v>
      </c>
      <c r="N64" s="247">
        <v>1416.4801200000002</v>
      </c>
    </row>
    <row r="65" spans="1:14" ht="15.75" thickBot="1">
      <c r="A65" s="2"/>
      <c r="B65" s="13" t="s">
        <v>102</v>
      </c>
      <c r="C65" s="14">
        <v>3</v>
      </c>
      <c r="D65" s="15">
        <v>4</v>
      </c>
      <c r="E65" s="27">
        <v>3</v>
      </c>
      <c r="F65" s="28">
        <v>175</v>
      </c>
      <c r="G65" s="186">
        <v>220</v>
      </c>
      <c r="H65" s="27" t="s">
        <v>23</v>
      </c>
      <c r="I65" s="28">
        <v>2900</v>
      </c>
      <c r="J65" s="38" t="s">
        <v>566</v>
      </c>
      <c r="K65" s="39">
        <v>67</v>
      </c>
      <c r="L65" s="42">
        <f>1.197*0.31*0.33</f>
        <v>0.12245310000000001</v>
      </c>
      <c r="M65" s="246">
        <v>1346.0940000000001</v>
      </c>
      <c r="N65" s="247">
        <v>1440.8071200000002</v>
      </c>
    </row>
    <row r="66" spans="1:14" ht="15.75" thickBot="1">
      <c r="A66" s="2"/>
      <c r="B66" s="13" t="s">
        <v>104</v>
      </c>
      <c r="C66" s="14">
        <v>3</v>
      </c>
      <c r="D66" s="15">
        <v>4</v>
      </c>
      <c r="E66" s="27">
        <v>3</v>
      </c>
      <c r="F66" s="28">
        <v>187</v>
      </c>
      <c r="G66" s="186">
        <v>235</v>
      </c>
      <c r="H66" s="27" t="s">
        <v>23</v>
      </c>
      <c r="I66" s="28">
        <v>2900</v>
      </c>
      <c r="J66" s="38" t="s">
        <v>566</v>
      </c>
      <c r="K66" s="39">
        <v>68</v>
      </c>
      <c r="L66" s="42">
        <f>1.237*0.31*0.33</f>
        <v>0.12654510000000002</v>
      </c>
      <c r="M66" s="246">
        <v>1394.4236400000002</v>
      </c>
      <c r="N66" s="247">
        <v>1488.8124000000003</v>
      </c>
    </row>
    <row r="67" spans="1:14" ht="15.75" thickBot="1">
      <c r="A67" s="2"/>
      <c r="B67" s="13" t="s">
        <v>106</v>
      </c>
      <c r="C67" s="14">
        <v>0.37</v>
      </c>
      <c r="D67" s="15">
        <v>0.5</v>
      </c>
      <c r="E67" s="27">
        <v>5</v>
      </c>
      <c r="F67" s="28">
        <v>11.5</v>
      </c>
      <c r="G67" s="186">
        <v>14.7</v>
      </c>
      <c r="H67" s="27" t="s">
        <v>107</v>
      </c>
      <c r="I67" s="28">
        <v>2900</v>
      </c>
      <c r="J67" s="38" t="s">
        <v>566</v>
      </c>
      <c r="K67" s="39">
        <v>27</v>
      </c>
      <c r="L67" s="42">
        <f>0.511*0.27*0.3</f>
        <v>4.1391000000000004E-2</v>
      </c>
      <c r="M67" s="246">
        <v>430.75008000000003</v>
      </c>
      <c r="N67" s="247">
        <v>519.30035999999996</v>
      </c>
    </row>
    <row r="68" spans="1:14" ht="15.75" thickBot="1">
      <c r="A68" s="2"/>
      <c r="B68" s="13" t="s">
        <v>108</v>
      </c>
      <c r="C68" s="14">
        <v>0.55000000000000004</v>
      </c>
      <c r="D68" s="15">
        <v>0.75</v>
      </c>
      <c r="E68" s="27">
        <v>5</v>
      </c>
      <c r="F68" s="28">
        <v>17.5</v>
      </c>
      <c r="G68" s="186">
        <v>22.1</v>
      </c>
      <c r="H68" s="27" t="s">
        <v>107</v>
      </c>
      <c r="I68" s="28">
        <v>2900</v>
      </c>
      <c r="J68" s="38" t="s">
        <v>566</v>
      </c>
      <c r="K68" s="39">
        <v>29</v>
      </c>
      <c r="L68" s="42">
        <f>0.538*0.27*0.3</f>
        <v>4.3578000000000006E-2</v>
      </c>
      <c r="M68" s="246">
        <v>460.91555999999997</v>
      </c>
      <c r="N68" s="247">
        <v>549.79020000000003</v>
      </c>
    </row>
    <row r="69" spans="1:14" ht="15.75" thickBot="1">
      <c r="A69" s="2"/>
      <c r="B69" s="13" t="s">
        <v>109</v>
      </c>
      <c r="C69" s="14">
        <v>0.55000000000000004</v>
      </c>
      <c r="D69" s="15">
        <v>0.75</v>
      </c>
      <c r="E69" s="27">
        <v>5</v>
      </c>
      <c r="F69" s="28">
        <v>24</v>
      </c>
      <c r="G69" s="186">
        <v>29.5</v>
      </c>
      <c r="H69" s="27" t="s">
        <v>107</v>
      </c>
      <c r="I69" s="28">
        <v>2900</v>
      </c>
      <c r="J69" s="38" t="s">
        <v>566</v>
      </c>
      <c r="K69" s="39">
        <v>30</v>
      </c>
      <c r="L69" s="42">
        <f>0.565*0.27*0.3</f>
        <v>4.5764999999999993E-2</v>
      </c>
      <c r="M69" s="246">
        <v>517.02984000000004</v>
      </c>
      <c r="N69" s="247">
        <v>605.90448000000015</v>
      </c>
    </row>
    <row r="70" spans="1:14" ht="15.75" thickBot="1">
      <c r="A70" s="2"/>
      <c r="B70" s="13" t="s">
        <v>110</v>
      </c>
      <c r="C70" s="14">
        <v>0.75</v>
      </c>
      <c r="D70" s="15">
        <v>1</v>
      </c>
      <c r="E70" s="27">
        <v>5</v>
      </c>
      <c r="F70" s="28">
        <v>30</v>
      </c>
      <c r="G70" s="186">
        <v>37</v>
      </c>
      <c r="H70" s="27" t="s">
        <v>107</v>
      </c>
      <c r="I70" s="28">
        <v>2900</v>
      </c>
      <c r="J70" s="38" t="s">
        <v>566</v>
      </c>
      <c r="K70" s="39">
        <v>34</v>
      </c>
      <c r="L70" s="42">
        <f>0.632*0.287*0.3</f>
        <v>5.4415199999999997E-2</v>
      </c>
      <c r="M70" s="246">
        <v>578.33388000000002</v>
      </c>
      <c r="N70" s="247">
        <v>666.88415999999995</v>
      </c>
    </row>
    <row r="71" spans="1:14" ht="15.75" thickBot="1">
      <c r="A71" s="2"/>
      <c r="B71" s="13" t="s">
        <v>111</v>
      </c>
      <c r="C71" s="14">
        <v>1.1000000000000001</v>
      </c>
      <c r="D71" s="15">
        <v>1.5</v>
      </c>
      <c r="E71" s="27">
        <v>5</v>
      </c>
      <c r="F71" s="28">
        <v>37</v>
      </c>
      <c r="G71" s="186">
        <v>44.5</v>
      </c>
      <c r="H71" s="27" t="s">
        <v>107</v>
      </c>
      <c r="I71" s="28">
        <v>2900</v>
      </c>
      <c r="J71" s="38" t="s">
        <v>566</v>
      </c>
      <c r="K71" s="39">
        <v>36</v>
      </c>
      <c r="L71" s="42">
        <f>0.659*0.287*0.3</f>
        <v>5.6739899999999996E-2</v>
      </c>
      <c r="M71" s="246">
        <v>650.66615999999999</v>
      </c>
      <c r="N71" s="247">
        <v>739.21644000000015</v>
      </c>
    </row>
    <row r="72" spans="1:14" ht="15.75" thickBot="1">
      <c r="A72" s="2"/>
      <c r="B72" s="13" t="s">
        <v>112</v>
      </c>
      <c r="C72" s="14">
        <v>1.1000000000000001</v>
      </c>
      <c r="D72" s="15">
        <v>1.5</v>
      </c>
      <c r="E72" s="27">
        <v>5</v>
      </c>
      <c r="F72" s="28">
        <v>42.5</v>
      </c>
      <c r="G72" s="186">
        <v>52</v>
      </c>
      <c r="H72" s="27" t="s">
        <v>107</v>
      </c>
      <c r="I72" s="28">
        <v>2900</v>
      </c>
      <c r="J72" s="38" t="s">
        <v>566</v>
      </c>
      <c r="K72" s="39">
        <v>36</v>
      </c>
      <c r="L72" s="42">
        <f>0.686*0.287*0.3</f>
        <v>5.9064599999999995E-2</v>
      </c>
      <c r="M72" s="246">
        <v>673.04700000000003</v>
      </c>
      <c r="N72" s="247">
        <v>761.27292</v>
      </c>
    </row>
    <row r="73" spans="1:14" ht="15.75" thickBot="1">
      <c r="A73" s="2"/>
      <c r="B73" s="13" t="s">
        <v>113</v>
      </c>
      <c r="C73" s="14">
        <v>1.1000000000000001</v>
      </c>
      <c r="D73" s="15">
        <v>1.5</v>
      </c>
      <c r="E73" s="27">
        <v>5</v>
      </c>
      <c r="F73" s="28">
        <v>49</v>
      </c>
      <c r="G73" s="186">
        <v>59</v>
      </c>
      <c r="H73" s="27" t="s">
        <v>107</v>
      </c>
      <c r="I73" s="28">
        <v>2900</v>
      </c>
      <c r="J73" s="38" t="s">
        <v>566</v>
      </c>
      <c r="K73" s="39">
        <v>37</v>
      </c>
      <c r="L73" s="42">
        <f>0.713*0.287*0.3</f>
        <v>6.1389299999999994E-2</v>
      </c>
      <c r="M73" s="246">
        <v>695.1034800000001</v>
      </c>
      <c r="N73" s="247">
        <v>782.68068000000005</v>
      </c>
    </row>
    <row r="74" spans="1:14" ht="15.75" thickBot="1">
      <c r="A74" s="2"/>
      <c r="B74" s="13" t="s">
        <v>114</v>
      </c>
      <c r="C74" s="14">
        <v>1.5</v>
      </c>
      <c r="D74" s="15">
        <v>2</v>
      </c>
      <c r="E74" s="27">
        <v>5</v>
      </c>
      <c r="F74" s="28">
        <v>55</v>
      </c>
      <c r="G74" s="186">
        <v>67</v>
      </c>
      <c r="H74" s="27" t="s">
        <v>107</v>
      </c>
      <c r="I74" s="28">
        <v>2900</v>
      </c>
      <c r="J74" s="38" t="s">
        <v>566</v>
      </c>
      <c r="K74" s="39">
        <v>43</v>
      </c>
      <c r="L74" s="42">
        <f>0.795*0.3*0.3</f>
        <v>7.1549999999999989E-2</v>
      </c>
      <c r="M74" s="246">
        <v>737.9190000000001</v>
      </c>
      <c r="N74" s="247">
        <v>826.46928000000014</v>
      </c>
    </row>
    <row r="75" spans="1:14" ht="15.75" thickBot="1">
      <c r="A75" s="2"/>
      <c r="B75" s="13" t="s">
        <v>115</v>
      </c>
      <c r="C75" s="14">
        <v>1.5</v>
      </c>
      <c r="D75" s="15">
        <v>2</v>
      </c>
      <c r="E75" s="27">
        <v>5</v>
      </c>
      <c r="F75" s="28">
        <v>62</v>
      </c>
      <c r="G75" s="186">
        <v>74.5</v>
      </c>
      <c r="H75" s="27" t="s">
        <v>107</v>
      </c>
      <c r="I75" s="28">
        <v>2900</v>
      </c>
      <c r="J75" s="38" t="s">
        <v>566</v>
      </c>
      <c r="K75" s="39">
        <v>44</v>
      </c>
      <c r="L75" s="42">
        <f>0.822*0.3*0.3</f>
        <v>7.397999999999999E-2</v>
      </c>
      <c r="M75" s="246">
        <v>808.30511999999999</v>
      </c>
      <c r="N75" s="247">
        <v>896.85540000000015</v>
      </c>
    </row>
    <row r="76" spans="1:14" ht="15.75" thickBot="1">
      <c r="A76" s="2"/>
      <c r="B76" s="13" t="s">
        <v>116</v>
      </c>
      <c r="C76" s="14">
        <v>1.5</v>
      </c>
      <c r="D76" s="15">
        <v>2</v>
      </c>
      <c r="E76" s="27">
        <v>5</v>
      </c>
      <c r="F76" s="28">
        <v>68</v>
      </c>
      <c r="G76" s="186">
        <v>82</v>
      </c>
      <c r="H76" s="27" t="s">
        <v>107</v>
      </c>
      <c r="I76" s="28">
        <v>2900</v>
      </c>
      <c r="J76" s="38" t="s">
        <v>566</v>
      </c>
      <c r="K76" s="39">
        <v>44</v>
      </c>
      <c r="L76" s="42">
        <f>0.849*0.3*0.3</f>
        <v>7.6409999999999992E-2</v>
      </c>
      <c r="M76" s="246">
        <v>842.6872800000001</v>
      </c>
      <c r="N76" s="247">
        <v>931.88628000000006</v>
      </c>
    </row>
    <row r="77" spans="1:14" ht="15.75" thickBot="1">
      <c r="A77" s="2"/>
      <c r="B77" s="13" t="s">
        <v>117</v>
      </c>
      <c r="C77" s="14">
        <v>2.2000000000000002</v>
      </c>
      <c r="D77" s="15">
        <v>3</v>
      </c>
      <c r="E77" s="27">
        <v>5</v>
      </c>
      <c r="F77" s="28">
        <v>74.5</v>
      </c>
      <c r="G77" s="186">
        <v>89.5</v>
      </c>
      <c r="H77" s="27" t="s">
        <v>107</v>
      </c>
      <c r="I77" s="28">
        <v>2900</v>
      </c>
      <c r="J77" s="38" t="s">
        <v>566</v>
      </c>
      <c r="K77" s="39">
        <v>48</v>
      </c>
      <c r="L77" s="42">
        <f>0.876*0.3*0.3</f>
        <v>7.8839999999999993E-2</v>
      </c>
      <c r="M77" s="246">
        <v>891.01692000000003</v>
      </c>
      <c r="N77" s="247">
        <v>980.21591999999998</v>
      </c>
    </row>
    <row r="78" spans="1:14" ht="15.75" thickBot="1">
      <c r="A78" s="2"/>
      <c r="B78" s="13" t="s">
        <v>118</v>
      </c>
      <c r="C78" s="14">
        <v>2.2000000000000002</v>
      </c>
      <c r="D78" s="15">
        <v>3</v>
      </c>
      <c r="E78" s="27">
        <v>5</v>
      </c>
      <c r="F78" s="28">
        <v>80</v>
      </c>
      <c r="G78" s="186">
        <v>97</v>
      </c>
      <c r="H78" s="27" t="s">
        <v>107</v>
      </c>
      <c r="I78" s="28">
        <v>2900</v>
      </c>
      <c r="J78" s="38" t="s">
        <v>566</v>
      </c>
      <c r="K78" s="39">
        <v>48</v>
      </c>
      <c r="L78" s="42">
        <f>0.903*0.3*0.3</f>
        <v>8.1269999999999995E-2</v>
      </c>
      <c r="M78" s="246">
        <v>904.64004</v>
      </c>
      <c r="N78" s="247">
        <v>994.16340000000014</v>
      </c>
    </row>
    <row r="79" spans="1:14" ht="15.75" thickBot="1">
      <c r="A79" s="2"/>
      <c r="B79" s="13" t="s">
        <v>119</v>
      </c>
      <c r="C79" s="14">
        <v>2.2000000000000002</v>
      </c>
      <c r="D79" s="15">
        <v>3</v>
      </c>
      <c r="E79" s="27">
        <v>5</v>
      </c>
      <c r="F79" s="28">
        <v>87</v>
      </c>
      <c r="G79" s="186">
        <v>104</v>
      </c>
      <c r="H79" s="27" t="s">
        <v>107</v>
      </c>
      <c r="I79" s="28">
        <v>2900</v>
      </c>
      <c r="J79" s="38" t="s">
        <v>566</v>
      </c>
      <c r="K79" s="39">
        <v>49</v>
      </c>
      <c r="L79" s="42">
        <f>0.93*0.3*0.3</f>
        <v>8.3700000000000011E-2</v>
      </c>
      <c r="M79" s="246">
        <v>918.2631600000002</v>
      </c>
      <c r="N79" s="247">
        <v>1007.4621600000002</v>
      </c>
    </row>
    <row r="80" spans="1:14" ht="15.75" thickBot="1">
      <c r="A80" s="2"/>
      <c r="B80" s="13" t="s">
        <v>120</v>
      </c>
      <c r="C80" s="14">
        <v>2.2000000000000002</v>
      </c>
      <c r="D80" s="15">
        <v>3</v>
      </c>
      <c r="E80" s="27">
        <v>5</v>
      </c>
      <c r="F80" s="28">
        <v>93</v>
      </c>
      <c r="G80" s="186">
        <v>112</v>
      </c>
      <c r="H80" s="27" t="s">
        <v>107</v>
      </c>
      <c r="I80" s="28">
        <v>2900</v>
      </c>
      <c r="J80" s="38" t="s">
        <v>566</v>
      </c>
      <c r="K80" s="39">
        <v>49</v>
      </c>
      <c r="L80" s="42">
        <f>0.957*0.3*0.3</f>
        <v>8.6129999999999984E-2</v>
      </c>
      <c r="M80" s="246">
        <v>932.53499999999997</v>
      </c>
      <c r="N80" s="247">
        <v>1021.0852800000001</v>
      </c>
    </row>
    <row r="81" spans="1:14" ht="15.75" thickBot="1">
      <c r="A81" s="2"/>
      <c r="B81" s="13" t="s">
        <v>121</v>
      </c>
      <c r="C81" s="14">
        <v>2.2000000000000002</v>
      </c>
      <c r="D81" s="15">
        <v>3</v>
      </c>
      <c r="E81" s="27">
        <v>5</v>
      </c>
      <c r="F81" s="28">
        <v>99</v>
      </c>
      <c r="G81" s="186">
        <v>119</v>
      </c>
      <c r="H81" s="27" t="s">
        <v>107</v>
      </c>
      <c r="I81" s="28">
        <v>2900</v>
      </c>
      <c r="J81" s="38" t="s">
        <v>566</v>
      </c>
      <c r="K81" s="39">
        <v>50</v>
      </c>
      <c r="L81" s="42">
        <f>0.984*0.3*0.3</f>
        <v>8.8559999999999986E-2</v>
      </c>
      <c r="M81" s="246">
        <v>952.96968000000015</v>
      </c>
      <c r="N81" s="247">
        <v>1041.5199600000001</v>
      </c>
    </row>
    <row r="82" spans="1:14" ht="15.75" thickBot="1">
      <c r="A82" s="2"/>
      <c r="B82" s="13" t="s">
        <v>122</v>
      </c>
      <c r="C82" s="14">
        <v>3</v>
      </c>
      <c r="D82" s="15">
        <v>4</v>
      </c>
      <c r="E82" s="27">
        <v>5</v>
      </c>
      <c r="F82" s="28">
        <v>105</v>
      </c>
      <c r="G82" s="186">
        <v>127</v>
      </c>
      <c r="H82" s="27" t="s">
        <v>107</v>
      </c>
      <c r="I82" s="28">
        <v>2900</v>
      </c>
      <c r="J82" s="38" t="s">
        <v>566</v>
      </c>
      <c r="K82" s="39">
        <v>63</v>
      </c>
      <c r="L82" s="42">
        <f>1.076*0.31*0.33</f>
        <v>0.11007480000000001</v>
      </c>
      <c r="M82" s="246">
        <v>1092.12012</v>
      </c>
      <c r="N82" s="247">
        <v>1181.3191199999999</v>
      </c>
    </row>
    <row r="83" spans="1:14" ht="15.75" thickBot="1">
      <c r="A83" s="2"/>
      <c r="B83" s="13" t="s">
        <v>123</v>
      </c>
      <c r="C83" s="14">
        <v>3</v>
      </c>
      <c r="D83" s="15">
        <v>4</v>
      </c>
      <c r="E83" s="27">
        <v>5</v>
      </c>
      <c r="F83" s="28">
        <v>111</v>
      </c>
      <c r="G83" s="186">
        <v>134</v>
      </c>
      <c r="H83" s="27" t="s">
        <v>107</v>
      </c>
      <c r="I83" s="28">
        <v>2900</v>
      </c>
      <c r="J83" s="38" t="s">
        <v>566</v>
      </c>
      <c r="K83" s="39">
        <v>63</v>
      </c>
      <c r="L83" s="42">
        <f>1.103*0.31*0.33</f>
        <v>0.1128369</v>
      </c>
      <c r="M83" s="246">
        <v>1114.1766000000002</v>
      </c>
      <c r="N83" s="247">
        <v>1203.3756000000001</v>
      </c>
    </row>
    <row r="84" spans="1:14" ht="15.75" thickBot="1">
      <c r="A84" s="2"/>
      <c r="B84" s="13" t="s">
        <v>124</v>
      </c>
      <c r="C84" s="14">
        <v>3</v>
      </c>
      <c r="D84" s="15">
        <v>4</v>
      </c>
      <c r="E84" s="27">
        <v>5</v>
      </c>
      <c r="F84" s="28">
        <v>124</v>
      </c>
      <c r="G84" s="186">
        <v>149</v>
      </c>
      <c r="H84" s="27" t="s">
        <v>107</v>
      </c>
      <c r="I84" s="28">
        <v>2900</v>
      </c>
      <c r="J84" s="38" t="s">
        <v>566</v>
      </c>
      <c r="K84" s="39">
        <v>64</v>
      </c>
      <c r="L84" s="42">
        <f>1.157*0.31*0.33</f>
        <v>0.1183611</v>
      </c>
      <c r="M84" s="246">
        <v>1158.61392</v>
      </c>
      <c r="N84" s="247">
        <v>1247.8129200000001</v>
      </c>
    </row>
    <row r="85" spans="1:14" ht="15.75" thickBot="1">
      <c r="A85" s="2"/>
      <c r="B85" s="13" t="s">
        <v>125</v>
      </c>
      <c r="C85" s="14">
        <v>3</v>
      </c>
      <c r="D85" s="15">
        <v>4</v>
      </c>
      <c r="E85" s="27">
        <v>5</v>
      </c>
      <c r="F85" s="28">
        <v>130</v>
      </c>
      <c r="G85" s="186">
        <v>157</v>
      </c>
      <c r="H85" s="27" t="s">
        <v>107</v>
      </c>
      <c r="I85" s="28">
        <v>2900</v>
      </c>
      <c r="J85" s="38" t="s">
        <v>566</v>
      </c>
      <c r="K85" s="39">
        <v>65</v>
      </c>
      <c r="L85" s="42">
        <f>1.184*0.31*0.33</f>
        <v>0.1211232</v>
      </c>
      <c r="M85" s="246">
        <v>1265.0040000000001</v>
      </c>
      <c r="N85" s="247">
        <v>1353.2299200000002</v>
      </c>
    </row>
    <row r="86" spans="1:14" ht="15.75" thickBot="1">
      <c r="A86" s="2"/>
      <c r="B86" s="13" t="s">
        <v>126</v>
      </c>
      <c r="C86" s="14">
        <v>4</v>
      </c>
      <c r="D86" s="15">
        <v>5.5</v>
      </c>
      <c r="E86" s="27">
        <v>5</v>
      </c>
      <c r="F86" s="28">
        <v>136</v>
      </c>
      <c r="G86" s="186">
        <v>164</v>
      </c>
      <c r="H86" s="27" t="s">
        <v>107</v>
      </c>
      <c r="I86" s="28">
        <v>2900</v>
      </c>
      <c r="J86" s="38" t="s">
        <v>566</v>
      </c>
      <c r="K86" s="39">
        <v>73</v>
      </c>
      <c r="L86" s="42">
        <f>1.221*0.333*0.33</f>
        <v>0.13417569000000001</v>
      </c>
      <c r="M86" s="246">
        <v>1363.2850800000001</v>
      </c>
      <c r="N86" s="247">
        <v>1452.4840800000002</v>
      </c>
    </row>
    <row r="87" spans="1:14" ht="15.75" thickBot="1">
      <c r="A87" s="2"/>
      <c r="B87" s="13" t="s">
        <v>127</v>
      </c>
      <c r="C87" s="14">
        <v>4</v>
      </c>
      <c r="D87" s="15">
        <v>5.5</v>
      </c>
      <c r="E87" s="27">
        <v>5</v>
      </c>
      <c r="F87" s="28">
        <v>142</v>
      </c>
      <c r="G87" s="186">
        <v>172</v>
      </c>
      <c r="H87" s="27" t="s">
        <v>107</v>
      </c>
      <c r="I87" s="28">
        <v>2900</v>
      </c>
      <c r="J87" s="38" t="s">
        <v>566</v>
      </c>
      <c r="K87" s="39">
        <v>75</v>
      </c>
      <c r="L87" s="42">
        <f>1.248*0.333*0.33</f>
        <v>0.13714272</v>
      </c>
      <c r="M87" s="246">
        <v>1411.61472</v>
      </c>
      <c r="N87" s="247">
        <v>1499.8406400000001</v>
      </c>
    </row>
    <row r="88" spans="1:14" ht="15.75" thickBot="1">
      <c r="A88" s="2"/>
      <c r="B88" s="13" t="s">
        <v>128</v>
      </c>
      <c r="C88" s="14">
        <v>4</v>
      </c>
      <c r="D88" s="15">
        <v>5.5</v>
      </c>
      <c r="E88" s="27">
        <v>5</v>
      </c>
      <c r="F88" s="28">
        <v>149</v>
      </c>
      <c r="G88" s="186">
        <v>179</v>
      </c>
      <c r="H88" s="27" t="s">
        <v>107</v>
      </c>
      <c r="I88" s="28">
        <v>2900</v>
      </c>
      <c r="J88" s="38" t="s">
        <v>566</v>
      </c>
      <c r="K88" s="39">
        <v>75</v>
      </c>
      <c r="L88" s="42">
        <f>1.275*0.333*0.33</f>
        <v>0.14010975000000001</v>
      </c>
      <c r="M88" s="246">
        <v>1479.0816000000002</v>
      </c>
      <c r="N88" s="247">
        <v>1567.6318800000001</v>
      </c>
    </row>
    <row r="89" spans="1:14" ht="15.75" thickBot="1">
      <c r="A89" s="2"/>
      <c r="B89" s="13" t="s">
        <v>129</v>
      </c>
      <c r="C89" s="14">
        <v>4</v>
      </c>
      <c r="D89" s="15">
        <v>5.5</v>
      </c>
      <c r="E89" s="27">
        <v>5</v>
      </c>
      <c r="F89" s="28">
        <v>155</v>
      </c>
      <c r="G89" s="186">
        <v>187</v>
      </c>
      <c r="H89" s="27" t="s">
        <v>107</v>
      </c>
      <c r="I89" s="28">
        <v>2900</v>
      </c>
      <c r="J89" s="38" t="s">
        <v>566</v>
      </c>
      <c r="K89" s="39">
        <v>76</v>
      </c>
      <c r="L89" s="42">
        <f>1.302*0.333*0.33</f>
        <v>0.14307678000000001</v>
      </c>
      <c r="M89" s="246">
        <v>1526.76252</v>
      </c>
      <c r="N89" s="247">
        <v>1615.3128000000002</v>
      </c>
    </row>
    <row r="90" spans="1:14" ht="15.75" thickBot="1">
      <c r="A90" s="2"/>
      <c r="B90" s="13" t="s">
        <v>130</v>
      </c>
      <c r="C90" s="14">
        <v>4</v>
      </c>
      <c r="D90" s="15">
        <v>5.5</v>
      </c>
      <c r="E90" s="27">
        <v>5</v>
      </c>
      <c r="F90" s="28">
        <v>168</v>
      </c>
      <c r="G90" s="186">
        <v>202</v>
      </c>
      <c r="H90" s="27" t="s">
        <v>107</v>
      </c>
      <c r="I90" s="28">
        <v>2900</v>
      </c>
      <c r="J90" s="38" t="s">
        <v>566</v>
      </c>
      <c r="K90" s="39">
        <v>77</v>
      </c>
      <c r="L90" s="42">
        <f>1.356*0.333*0.33</f>
        <v>0.14901084000000003</v>
      </c>
      <c r="M90" s="246">
        <v>1621.8</v>
      </c>
      <c r="N90" s="247">
        <v>1710.0259200000003</v>
      </c>
    </row>
    <row r="91" spans="1:14" ht="15.75" thickBot="1">
      <c r="A91" s="2"/>
      <c r="B91" s="13" t="s">
        <v>131</v>
      </c>
      <c r="C91" s="14">
        <v>4</v>
      </c>
      <c r="D91" s="15">
        <v>5.5</v>
      </c>
      <c r="E91" s="27">
        <v>5</v>
      </c>
      <c r="F91" s="28">
        <v>174</v>
      </c>
      <c r="G91" s="186">
        <v>210</v>
      </c>
      <c r="H91" s="27" t="s">
        <v>107</v>
      </c>
      <c r="I91" s="28">
        <v>2900</v>
      </c>
      <c r="J91" s="38" t="s">
        <v>566</v>
      </c>
      <c r="K91" s="39">
        <v>78</v>
      </c>
      <c r="L91" s="42">
        <f>1.383*0.333*0.33</f>
        <v>0.15197787000000001</v>
      </c>
      <c r="M91" s="246">
        <v>1669.1565600000001</v>
      </c>
      <c r="N91" s="247">
        <v>1758.0312000000001</v>
      </c>
    </row>
    <row r="92" spans="1:14" ht="15.75" thickBot="1">
      <c r="A92" s="2"/>
      <c r="B92" s="13" t="s">
        <v>132</v>
      </c>
      <c r="C92" s="14">
        <v>5.5</v>
      </c>
      <c r="D92" s="15">
        <v>7.5</v>
      </c>
      <c r="E92" s="27">
        <v>5</v>
      </c>
      <c r="F92" s="28">
        <v>180</v>
      </c>
      <c r="G92" s="186">
        <v>217</v>
      </c>
      <c r="H92" s="27" t="s">
        <v>107</v>
      </c>
      <c r="I92" s="28">
        <v>2900</v>
      </c>
      <c r="J92" s="38" t="s">
        <v>566</v>
      </c>
      <c r="K92" s="39">
        <v>101</v>
      </c>
      <c r="L92" s="42">
        <f>1.52*0.353*0.37</f>
        <v>0.19852719999999996</v>
      </c>
      <c r="M92" s="246">
        <v>1899.1278000000002</v>
      </c>
      <c r="N92" s="247">
        <v>1987.6780799999999</v>
      </c>
    </row>
    <row r="93" spans="1:14" ht="15.75" thickBot="1">
      <c r="A93" s="2"/>
      <c r="B93" s="13" t="s">
        <v>133</v>
      </c>
      <c r="C93" s="14">
        <v>5.5</v>
      </c>
      <c r="D93" s="15">
        <v>7.5</v>
      </c>
      <c r="E93" s="27">
        <v>5</v>
      </c>
      <c r="F93" s="28">
        <v>186</v>
      </c>
      <c r="G93" s="186">
        <v>225</v>
      </c>
      <c r="H93" s="27" t="s">
        <v>107</v>
      </c>
      <c r="I93" s="28">
        <v>2900</v>
      </c>
      <c r="J93" s="38" t="s">
        <v>566</v>
      </c>
      <c r="K93" s="39">
        <v>102</v>
      </c>
      <c r="L93" s="42">
        <f>1.547*0.353*0.37</f>
        <v>0.20205366999999999</v>
      </c>
      <c r="M93" s="246">
        <v>1947.4574399999999</v>
      </c>
      <c r="N93" s="247">
        <v>2035.0346400000001</v>
      </c>
    </row>
    <row r="94" spans="1:14" ht="15.75" thickBot="1">
      <c r="A94" s="2"/>
      <c r="B94" s="13" t="s">
        <v>134</v>
      </c>
      <c r="C94" s="14">
        <v>5.5</v>
      </c>
      <c r="D94" s="15">
        <v>7.5</v>
      </c>
      <c r="E94" s="27">
        <v>5</v>
      </c>
      <c r="F94" s="28">
        <v>206</v>
      </c>
      <c r="G94" s="186">
        <v>249</v>
      </c>
      <c r="H94" s="27" t="s">
        <v>107</v>
      </c>
      <c r="I94" s="28">
        <v>2900</v>
      </c>
      <c r="J94" s="38" t="s">
        <v>566</v>
      </c>
      <c r="K94" s="39">
        <v>104</v>
      </c>
      <c r="L94" s="42">
        <f>1.628*0.353*0.37</f>
        <v>0.21263307999999997</v>
      </c>
      <c r="M94" s="246">
        <v>2090.82456</v>
      </c>
      <c r="N94" s="247">
        <v>2179.3748399999999</v>
      </c>
    </row>
    <row r="95" spans="1:14" ht="15.75" thickBot="1">
      <c r="A95" s="2"/>
      <c r="B95" s="13" t="s">
        <v>135</v>
      </c>
      <c r="C95" s="14">
        <v>0.75</v>
      </c>
      <c r="D95" s="15">
        <v>1</v>
      </c>
      <c r="E95" s="27">
        <v>10</v>
      </c>
      <c r="F95" s="28">
        <v>8</v>
      </c>
      <c r="G95" s="186">
        <v>11</v>
      </c>
      <c r="H95" s="27" t="s">
        <v>136</v>
      </c>
      <c r="I95" s="28">
        <v>2900</v>
      </c>
      <c r="J95" s="38" t="s">
        <v>566</v>
      </c>
      <c r="K95" s="39">
        <v>36</v>
      </c>
      <c r="L95" s="42">
        <f>0.612*0.302*0.35</f>
        <v>6.4688399999999993E-2</v>
      </c>
      <c r="M95" s="246">
        <v>636.06996000000004</v>
      </c>
      <c r="N95" s="247">
        <v>808.30511999999999</v>
      </c>
    </row>
    <row r="96" spans="1:14" ht="15.75" thickBot="1">
      <c r="A96" s="2"/>
      <c r="B96" s="13" t="s">
        <v>138</v>
      </c>
      <c r="C96" s="14">
        <v>0.75</v>
      </c>
      <c r="D96" s="15">
        <v>1</v>
      </c>
      <c r="E96" s="27">
        <v>10</v>
      </c>
      <c r="F96" s="28">
        <v>16.5</v>
      </c>
      <c r="G96" s="186">
        <v>22.2</v>
      </c>
      <c r="H96" s="27" t="s">
        <v>136</v>
      </c>
      <c r="I96" s="28">
        <v>2900</v>
      </c>
      <c r="J96" s="38" t="s">
        <v>566</v>
      </c>
      <c r="K96" s="39">
        <v>37</v>
      </c>
      <c r="L96" s="42">
        <f>0.612*0.302*0.35</f>
        <v>6.4688399999999993E-2</v>
      </c>
      <c r="M96" s="246">
        <v>670.12776000000008</v>
      </c>
      <c r="N96" s="247">
        <v>839.44368000000009</v>
      </c>
    </row>
    <row r="97" spans="1:14" ht="15.75" thickBot="1">
      <c r="A97" s="2"/>
      <c r="B97" s="13" t="s">
        <v>139</v>
      </c>
      <c r="C97" s="14">
        <v>1.1000000000000001</v>
      </c>
      <c r="D97" s="15">
        <v>1.5</v>
      </c>
      <c r="E97" s="27">
        <v>10</v>
      </c>
      <c r="F97" s="28">
        <v>25.5</v>
      </c>
      <c r="G97" s="186">
        <v>33.299999999999997</v>
      </c>
      <c r="H97" s="27" t="s">
        <v>136</v>
      </c>
      <c r="I97" s="28">
        <v>2900</v>
      </c>
      <c r="J97" s="38" t="s">
        <v>566</v>
      </c>
      <c r="K97" s="39">
        <v>40</v>
      </c>
      <c r="L97" s="42">
        <f>0.642*0.302*0.35</f>
        <v>6.78594E-2</v>
      </c>
      <c r="M97" s="246">
        <v>746.35236000000009</v>
      </c>
      <c r="N97" s="247">
        <v>918.2631600000002</v>
      </c>
    </row>
    <row r="98" spans="1:14" ht="15.75" thickBot="1">
      <c r="A98" s="2"/>
      <c r="B98" s="13" t="s">
        <v>140</v>
      </c>
      <c r="C98" s="14">
        <v>1.5</v>
      </c>
      <c r="D98" s="15">
        <v>2</v>
      </c>
      <c r="E98" s="27">
        <v>10</v>
      </c>
      <c r="F98" s="28">
        <v>34</v>
      </c>
      <c r="G98" s="186">
        <v>44.5</v>
      </c>
      <c r="H98" s="27" t="s">
        <v>136</v>
      </c>
      <c r="I98" s="28">
        <v>2900</v>
      </c>
      <c r="J98" s="38" t="s">
        <v>566</v>
      </c>
      <c r="K98" s="39">
        <v>47</v>
      </c>
      <c r="L98" s="42">
        <f>0.727*0.315*0.35</f>
        <v>8.0151749999999994E-2</v>
      </c>
      <c r="M98" s="246">
        <v>872.85276000000022</v>
      </c>
      <c r="N98" s="247">
        <v>1039.24944</v>
      </c>
    </row>
    <row r="99" spans="1:14" ht="15.75" thickBot="1">
      <c r="A99" s="2"/>
      <c r="B99" s="13" t="s">
        <v>141</v>
      </c>
      <c r="C99" s="14">
        <v>2.2000000000000002</v>
      </c>
      <c r="D99" s="15">
        <v>3</v>
      </c>
      <c r="E99" s="27">
        <v>10</v>
      </c>
      <c r="F99" s="28">
        <v>43</v>
      </c>
      <c r="G99" s="186">
        <v>56</v>
      </c>
      <c r="H99" s="27" t="s">
        <v>136</v>
      </c>
      <c r="I99" s="28">
        <v>2900</v>
      </c>
      <c r="J99" s="38" t="s">
        <v>566</v>
      </c>
      <c r="K99" s="39">
        <v>51</v>
      </c>
      <c r="L99" s="42">
        <f>0.757*0.315*0.35</f>
        <v>8.3459249999999999E-2</v>
      </c>
      <c r="M99" s="246">
        <v>927.99396000000013</v>
      </c>
      <c r="N99" s="247">
        <v>1094.3906400000001</v>
      </c>
    </row>
    <row r="100" spans="1:14" ht="15.75" thickBot="1">
      <c r="A100" s="2"/>
      <c r="B100" s="13" t="s">
        <v>142</v>
      </c>
      <c r="C100" s="14">
        <v>2.2000000000000002</v>
      </c>
      <c r="D100" s="15">
        <v>3</v>
      </c>
      <c r="E100" s="27">
        <v>10</v>
      </c>
      <c r="F100" s="28">
        <v>52</v>
      </c>
      <c r="G100" s="186">
        <v>67</v>
      </c>
      <c r="H100" s="27" t="s">
        <v>136</v>
      </c>
      <c r="I100" s="28">
        <v>2900</v>
      </c>
      <c r="J100" s="38" t="s">
        <v>566</v>
      </c>
      <c r="K100" s="39">
        <v>52</v>
      </c>
      <c r="L100" s="42">
        <f>0.787*0.315*0.35</f>
        <v>8.6766750000000004E-2</v>
      </c>
      <c r="M100" s="246">
        <v>980.21591999999998</v>
      </c>
      <c r="N100" s="247">
        <v>1152.12672</v>
      </c>
    </row>
    <row r="101" spans="1:14" ht="15.75" thickBot="1">
      <c r="A101" s="2"/>
      <c r="B101" s="13" t="s">
        <v>143</v>
      </c>
      <c r="C101" s="14">
        <v>3</v>
      </c>
      <c r="D101" s="15">
        <v>4</v>
      </c>
      <c r="E101" s="27">
        <v>10</v>
      </c>
      <c r="F101" s="28">
        <v>62</v>
      </c>
      <c r="G101" s="186">
        <v>78.5</v>
      </c>
      <c r="H101" s="27" t="s">
        <v>136</v>
      </c>
      <c r="I101" s="28">
        <v>2900</v>
      </c>
      <c r="J101" s="38" t="s">
        <v>566</v>
      </c>
      <c r="K101" s="39">
        <v>65</v>
      </c>
      <c r="L101" s="42">
        <f>0.882*0.325*0.38</f>
        <v>0.10892700000000001</v>
      </c>
      <c r="M101" s="246">
        <v>1164.4524000000001</v>
      </c>
      <c r="N101" s="247">
        <v>1336.6875600000001</v>
      </c>
    </row>
    <row r="102" spans="1:14" ht="15.75" thickBot="1">
      <c r="A102" s="2"/>
      <c r="B102" s="13" t="s">
        <v>144</v>
      </c>
      <c r="C102" s="14">
        <v>3</v>
      </c>
      <c r="D102" s="15">
        <v>4</v>
      </c>
      <c r="E102" s="27">
        <v>10</v>
      </c>
      <c r="F102" s="28">
        <v>71</v>
      </c>
      <c r="G102" s="186">
        <v>90</v>
      </c>
      <c r="H102" s="27" t="s">
        <v>136</v>
      </c>
      <c r="I102" s="28">
        <v>2900</v>
      </c>
      <c r="J102" s="38" t="s">
        <v>566</v>
      </c>
      <c r="K102" s="39">
        <v>66</v>
      </c>
      <c r="L102" s="42">
        <f>0.912*0.325*0.38</f>
        <v>0.112632</v>
      </c>
      <c r="M102" s="246">
        <v>1292.2502400000001</v>
      </c>
      <c r="N102" s="247">
        <v>1463.51232</v>
      </c>
    </row>
    <row r="103" spans="1:14" ht="15.75" thickBot="1">
      <c r="A103" s="2"/>
      <c r="B103" s="13" t="s">
        <v>145</v>
      </c>
      <c r="C103" s="14">
        <v>4</v>
      </c>
      <c r="D103" s="15">
        <v>5.5</v>
      </c>
      <c r="E103" s="27">
        <v>10</v>
      </c>
      <c r="F103" s="28">
        <v>80</v>
      </c>
      <c r="G103" s="186">
        <v>101.5</v>
      </c>
      <c r="H103" s="27" t="s">
        <v>136</v>
      </c>
      <c r="I103" s="28">
        <v>2900</v>
      </c>
      <c r="J103" s="38" t="s">
        <v>566</v>
      </c>
      <c r="K103" s="39">
        <v>74</v>
      </c>
      <c r="L103" s="42">
        <f>0.952*0.348*0.38</f>
        <v>0.12589248</v>
      </c>
      <c r="M103" s="246">
        <v>1361.9876400000001</v>
      </c>
      <c r="N103" s="247">
        <v>1533.2497200000003</v>
      </c>
    </row>
    <row r="104" spans="1:14" ht="15.75" thickBot="1">
      <c r="A104" s="2"/>
      <c r="B104" s="13" t="s">
        <v>146</v>
      </c>
      <c r="C104" s="14">
        <v>4</v>
      </c>
      <c r="D104" s="15">
        <v>5.5</v>
      </c>
      <c r="E104" s="27">
        <v>10</v>
      </c>
      <c r="F104" s="28">
        <v>89</v>
      </c>
      <c r="G104" s="186">
        <v>113</v>
      </c>
      <c r="H104" s="27" t="s">
        <v>136</v>
      </c>
      <c r="I104" s="28">
        <v>2900</v>
      </c>
      <c r="J104" s="38" t="s">
        <v>566</v>
      </c>
      <c r="K104" s="39">
        <v>75</v>
      </c>
      <c r="L104" s="42">
        <f>0.982*0.348*0.38</f>
        <v>0.12985968000000001</v>
      </c>
      <c r="M104" s="246">
        <v>1446.32124</v>
      </c>
      <c r="N104" s="247">
        <v>1593.2563200000002</v>
      </c>
    </row>
    <row r="105" spans="1:14" ht="15.75" thickBot="1">
      <c r="A105" s="2"/>
      <c r="B105" s="13" t="s">
        <v>147</v>
      </c>
      <c r="C105" s="14">
        <v>4</v>
      </c>
      <c r="D105" s="15">
        <v>5.5</v>
      </c>
      <c r="E105" s="27">
        <v>10</v>
      </c>
      <c r="F105" s="28">
        <v>98</v>
      </c>
      <c r="G105" s="186">
        <v>124</v>
      </c>
      <c r="H105" s="27" t="s">
        <v>136</v>
      </c>
      <c r="I105" s="28">
        <v>2900</v>
      </c>
      <c r="J105" s="38" t="s">
        <v>566</v>
      </c>
      <c r="K105" s="39">
        <v>76</v>
      </c>
      <c r="L105" s="42">
        <f>1.012*0.348*0.38</f>
        <v>0.13382688000000001</v>
      </c>
      <c r="M105" s="246">
        <v>1569.5780399999999</v>
      </c>
      <c r="N105" s="247">
        <v>1716.1887600000002</v>
      </c>
    </row>
    <row r="106" spans="1:14" ht="15.75" thickBot="1">
      <c r="A106" s="2"/>
      <c r="B106" s="13" t="s">
        <v>148</v>
      </c>
      <c r="C106" s="14">
        <v>4.5</v>
      </c>
      <c r="D106" s="15">
        <v>6</v>
      </c>
      <c r="E106" s="27">
        <v>10</v>
      </c>
      <c r="F106" s="28">
        <v>107</v>
      </c>
      <c r="G106" s="186">
        <v>137</v>
      </c>
      <c r="H106" s="27" t="s">
        <v>136</v>
      </c>
      <c r="I106" s="28">
        <v>2900</v>
      </c>
      <c r="J106" s="38" t="s">
        <v>566</v>
      </c>
      <c r="K106" s="39">
        <v>79</v>
      </c>
      <c r="L106" s="42">
        <f>1.12*0.348*0.42</f>
        <v>0.16369919999999999</v>
      </c>
      <c r="M106" s="246">
        <v>1666.56168</v>
      </c>
      <c r="N106" s="247">
        <v>1809.28008</v>
      </c>
    </row>
    <row r="107" spans="1:14" ht="15.75" thickBot="1">
      <c r="A107" s="2"/>
      <c r="B107" s="13" t="s">
        <v>149</v>
      </c>
      <c r="C107" s="14">
        <v>5.5</v>
      </c>
      <c r="D107" s="15">
        <v>7.5</v>
      </c>
      <c r="E107" s="27">
        <v>10</v>
      </c>
      <c r="F107" s="28">
        <v>116</v>
      </c>
      <c r="G107" s="186">
        <v>147</v>
      </c>
      <c r="H107" s="27" t="s">
        <v>136</v>
      </c>
      <c r="I107" s="28">
        <v>2900</v>
      </c>
      <c r="J107" s="38" t="s">
        <v>566</v>
      </c>
      <c r="K107" s="39">
        <v>101</v>
      </c>
      <c r="L107" s="42">
        <f>1.185*0.368*0.42</f>
        <v>0.1831536</v>
      </c>
      <c r="M107" s="246">
        <v>1793.7108000000003</v>
      </c>
      <c r="N107" s="247">
        <v>1930.91508</v>
      </c>
    </row>
    <row r="108" spans="1:14" ht="15.75" thickBot="1">
      <c r="A108" s="2"/>
      <c r="B108" s="13" t="s">
        <v>150</v>
      </c>
      <c r="C108" s="14">
        <v>5.5</v>
      </c>
      <c r="D108" s="15">
        <v>7.5</v>
      </c>
      <c r="E108" s="27">
        <v>10</v>
      </c>
      <c r="F108" s="28">
        <v>125</v>
      </c>
      <c r="G108" s="186">
        <v>160</v>
      </c>
      <c r="H108" s="27" t="s">
        <v>136</v>
      </c>
      <c r="I108" s="28">
        <v>2900</v>
      </c>
      <c r="J108" s="38" t="s">
        <v>566</v>
      </c>
      <c r="K108" s="39">
        <v>102</v>
      </c>
      <c r="L108" s="42">
        <f>1.215*0.368*0.42</f>
        <v>0.1877904</v>
      </c>
      <c r="M108" s="246">
        <v>1822.2544799999998</v>
      </c>
      <c r="N108" s="247">
        <v>1960.1074800000001</v>
      </c>
    </row>
    <row r="109" spans="1:14" ht="15.75" thickBot="1">
      <c r="A109" s="2"/>
      <c r="B109" s="13" t="s">
        <v>151</v>
      </c>
      <c r="C109" s="14">
        <v>5.5</v>
      </c>
      <c r="D109" s="15">
        <v>7.5</v>
      </c>
      <c r="E109" s="27">
        <v>10</v>
      </c>
      <c r="F109" s="28">
        <v>134</v>
      </c>
      <c r="G109" s="186">
        <v>171</v>
      </c>
      <c r="H109" s="27" t="s">
        <v>136</v>
      </c>
      <c r="I109" s="28">
        <v>2900</v>
      </c>
      <c r="J109" s="38" t="s">
        <v>566</v>
      </c>
      <c r="K109" s="39">
        <v>103</v>
      </c>
      <c r="L109" s="42">
        <f>1.245*0.368*0.42</f>
        <v>0.19242719999999999</v>
      </c>
      <c r="M109" s="246">
        <v>1887.45084</v>
      </c>
      <c r="N109" s="247">
        <v>2025.6282000000001</v>
      </c>
    </row>
    <row r="110" spans="1:14" ht="15.75" thickBot="1">
      <c r="A110" s="2"/>
      <c r="B110" s="13" t="s">
        <v>152</v>
      </c>
      <c r="C110" s="14">
        <v>7.5</v>
      </c>
      <c r="D110" s="15">
        <v>10</v>
      </c>
      <c r="E110" s="27">
        <v>10</v>
      </c>
      <c r="F110" s="28">
        <v>144</v>
      </c>
      <c r="G110" s="186">
        <v>183</v>
      </c>
      <c r="H110" s="27" t="s">
        <v>136</v>
      </c>
      <c r="I110" s="28">
        <v>2900</v>
      </c>
      <c r="J110" s="38" t="s">
        <v>566</v>
      </c>
      <c r="K110" s="39">
        <v>113</v>
      </c>
      <c r="L110" s="42">
        <f>1.275*0.368*0.42</f>
        <v>0.19706399999999996</v>
      </c>
      <c r="M110" s="246">
        <v>2005.8422399999999</v>
      </c>
      <c r="N110" s="247">
        <v>2143.3708799999999</v>
      </c>
    </row>
    <row r="111" spans="1:14" ht="15.75" thickBot="1">
      <c r="A111" s="2"/>
      <c r="B111" s="13" t="s">
        <v>153</v>
      </c>
      <c r="C111" s="14">
        <v>7.5</v>
      </c>
      <c r="D111" s="15">
        <v>10</v>
      </c>
      <c r="E111" s="27">
        <v>10</v>
      </c>
      <c r="F111" s="28">
        <v>153</v>
      </c>
      <c r="G111" s="186">
        <v>194</v>
      </c>
      <c r="H111" s="27" t="s">
        <v>136</v>
      </c>
      <c r="I111" s="28">
        <v>2900</v>
      </c>
      <c r="J111" s="38" t="s">
        <v>566</v>
      </c>
      <c r="K111" s="39">
        <v>114</v>
      </c>
      <c r="L111" s="42">
        <f>1.305*0.368*0.42</f>
        <v>0.20170079999999996</v>
      </c>
      <c r="M111" s="246">
        <v>2058.7129200000004</v>
      </c>
      <c r="N111" s="247">
        <v>2196.2415600000004</v>
      </c>
    </row>
    <row r="112" spans="1:14" ht="15.75" thickBot="1">
      <c r="A112" s="2"/>
      <c r="B112" s="13" t="s">
        <v>154</v>
      </c>
      <c r="C112" s="14">
        <v>7.5</v>
      </c>
      <c r="D112" s="15">
        <v>10</v>
      </c>
      <c r="E112" s="27">
        <v>10</v>
      </c>
      <c r="F112" s="28">
        <v>163</v>
      </c>
      <c r="G112" s="186">
        <v>205</v>
      </c>
      <c r="H112" s="27" t="s">
        <v>136</v>
      </c>
      <c r="I112" s="28">
        <v>2900</v>
      </c>
      <c r="J112" s="38" t="s">
        <v>566</v>
      </c>
      <c r="K112" s="39">
        <v>115</v>
      </c>
      <c r="L112" s="42">
        <f>1.335*0.368*0.42</f>
        <v>0.20633759999999998</v>
      </c>
      <c r="M112" s="246">
        <v>2117.0977200000002</v>
      </c>
      <c r="N112" s="247">
        <v>2255.2750800000003</v>
      </c>
    </row>
    <row r="113" spans="1:14" ht="15.75" thickBot="1">
      <c r="A113" s="2"/>
      <c r="B113" s="13" t="s">
        <v>155</v>
      </c>
      <c r="C113" s="14">
        <v>7.5</v>
      </c>
      <c r="D113" s="15">
        <v>10</v>
      </c>
      <c r="E113" s="27">
        <v>10</v>
      </c>
      <c r="F113" s="28">
        <v>172</v>
      </c>
      <c r="G113" s="186">
        <v>217</v>
      </c>
      <c r="H113" s="27" t="s">
        <v>136</v>
      </c>
      <c r="I113" s="28">
        <v>2900</v>
      </c>
      <c r="J113" s="38" t="s">
        <v>566</v>
      </c>
      <c r="K113" s="39">
        <v>117</v>
      </c>
      <c r="L113" s="42">
        <f>1.365*0.368*0.42</f>
        <v>0.21097439999999998</v>
      </c>
      <c r="M113" s="246">
        <v>2168.3465999999999</v>
      </c>
      <c r="N113" s="247">
        <v>2304.9021600000001</v>
      </c>
    </row>
    <row r="114" spans="1:14" ht="15.75" thickBot="1">
      <c r="A114" s="2"/>
      <c r="B114" s="13" t="s">
        <v>156</v>
      </c>
      <c r="C114" s="14">
        <v>7.5</v>
      </c>
      <c r="D114" s="15">
        <v>10</v>
      </c>
      <c r="E114" s="27">
        <v>10</v>
      </c>
      <c r="F114" s="28">
        <v>181</v>
      </c>
      <c r="G114" s="186">
        <v>228</v>
      </c>
      <c r="H114" s="27" t="s">
        <v>136</v>
      </c>
      <c r="I114" s="28">
        <v>2900</v>
      </c>
      <c r="J114" s="38" t="s">
        <v>566</v>
      </c>
      <c r="K114" s="39">
        <v>118</v>
      </c>
      <c r="L114" s="42">
        <f>1.395*0.368*0.42</f>
        <v>0.2156112</v>
      </c>
      <c r="M114" s="246">
        <v>2221.2172799999998</v>
      </c>
      <c r="N114" s="247">
        <v>2359.0702799999999</v>
      </c>
    </row>
    <row r="115" spans="1:14" ht="15.75" thickBot="1">
      <c r="A115" s="2"/>
      <c r="B115" s="13" t="s">
        <v>157</v>
      </c>
      <c r="C115" s="14">
        <v>7.5</v>
      </c>
      <c r="D115" s="15">
        <v>10</v>
      </c>
      <c r="E115" s="27">
        <v>10</v>
      </c>
      <c r="F115" s="28">
        <v>191</v>
      </c>
      <c r="G115" s="186">
        <v>240</v>
      </c>
      <c r="H115" s="27" t="s">
        <v>136</v>
      </c>
      <c r="I115" s="28">
        <v>2900</v>
      </c>
      <c r="J115" s="38" t="s">
        <v>566</v>
      </c>
      <c r="K115" s="39">
        <v>119</v>
      </c>
      <c r="L115" s="42">
        <f>1.425*0.368*0.42</f>
        <v>0.22024799999999997</v>
      </c>
      <c r="M115" s="246">
        <v>2275.06104</v>
      </c>
      <c r="N115" s="247">
        <v>2412.2653200000004</v>
      </c>
    </row>
    <row r="116" spans="1:14" ht="15.75" thickBot="1">
      <c r="A116" s="2"/>
      <c r="B116" s="13" t="s">
        <v>158</v>
      </c>
      <c r="C116" s="14">
        <v>11</v>
      </c>
      <c r="D116" s="15">
        <v>15</v>
      </c>
      <c r="E116" s="27">
        <v>10</v>
      </c>
      <c r="F116" s="28">
        <v>201</v>
      </c>
      <c r="G116" s="186">
        <v>250</v>
      </c>
      <c r="H116" s="27" t="s">
        <v>136</v>
      </c>
      <c r="I116" s="28">
        <v>2900</v>
      </c>
      <c r="J116" s="38" t="s">
        <v>566</v>
      </c>
      <c r="K116" s="39">
        <v>189</v>
      </c>
      <c r="L116" s="42">
        <f>1.595*0.415*0.42</f>
        <v>0.27800849999999999</v>
      </c>
      <c r="M116" s="246">
        <v>2777.8190399999999</v>
      </c>
      <c r="N116" s="247">
        <v>2915.0233200000007</v>
      </c>
    </row>
    <row r="117" spans="1:14" ht="15.75" thickBot="1">
      <c r="A117" s="2"/>
      <c r="B117" s="13" t="s">
        <v>159</v>
      </c>
      <c r="C117" s="14">
        <v>1.1000000000000001</v>
      </c>
      <c r="D117" s="15">
        <v>1.5</v>
      </c>
      <c r="E117" s="27">
        <v>15</v>
      </c>
      <c r="F117" s="28">
        <v>11</v>
      </c>
      <c r="G117" s="186">
        <v>12.6</v>
      </c>
      <c r="H117" s="27" t="s">
        <v>160</v>
      </c>
      <c r="I117" s="28">
        <v>2900</v>
      </c>
      <c r="J117" s="38" t="s">
        <v>566</v>
      </c>
      <c r="K117" s="39">
        <v>45</v>
      </c>
      <c r="L117" s="42">
        <f>0.652*0.32*0.35</f>
        <v>7.3024000000000006E-2</v>
      </c>
      <c r="M117" s="246">
        <v>844.95780000000002</v>
      </c>
      <c r="N117" s="247">
        <v>1005.5160000000001</v>
      </c>
    </row>
    <row r="118" spans="1:14" ht="15.75" thickBot="1">
      <c r="A118" s="2"/>
      <c r="B118" s="13" t="s">
        <v>161</v>
      </c>
      <c r="C118" s="14">
        <v>2.2000000000000002</v>
      </c>
      <c r="D118" s="15">
        <v>3</v>
      </c>
      <c r="E118" s="27">
        <v>15</v>
      </c>
      <c r="F118" s="28">
        <v>22.5</v>
      </c>
      <c r="G118" s="186">
        <v>26</v>
      </c>
      <c r="H118" s="27" t="s">
        <v>160</v>
      </c>
      <c r="I118" s="28">
        <v>2900</v>
      </c>
      <c r="J118" s="38" t="s">
        <v>566</v>
      </c>
      <c r="K118" s="39">
        <v>54</v>
      </c>
      <c r="L118" s="42">
        <f>0.707*0.325*0.35</f>
        <v>8.042125E-2</v>
      </c>
      <c r="M118" s="246">
        <v>942.91452000000004</v>
      </c>
      <c r="N118" s="247">
        <v>1103.7970800000001</v>
      </c>
    </row>
    <row r="119" spans="1:14" ht="15.75" thickBot="1">
      <c r="A119" s="2"/>
      <c r="B119" s="13" t="s">
        <v>162</v>
      </c>
      <c r="C119" s="14">
        <v>3</v>
      </c>
      <c r="D119" s="15">
        <v>4</v>
      </c>
      <c r="E119" s="27">
        <v>15</v>
      </c>
      <c r="F119" s="28">
        <v>34.5</v>
      </c>
      <c r="G119" s="186">
        <v>40</v>
      </c>
      <c r="H119" s="27" t="s">
        <v>160</v>
      </c>
      <c r="I119" s="28">
        <v>2900</v>
      </c>
      <c r="J119" s="38" t="s">
        <v>566</v>
      </c>
      <c r="K119" s="39">
        <v>66</v>
      </c>
      <c r="L119" s="42">
        <f>0.817*0.335*0.38</f>
        <v>0.10400410000000002</v>
      </c>
      <c r="M119" s="246">
        <v>1173.2101200000002</v>
      </c>
      <c r="N119" s="247">
        <v>1333.7683199999999</v>
      </c>
    </row>
    <row r="120" spans="1:14" ht="15.75" thickBot="1">
      <c r="A120" s="2"/>
      <c r="B120" s="13" t="s">
        <v>163</v>
      </c>
      <c r="C120" s="14">
        <v>4</v>
      </c>
      <c r="D120" s="15">
        <v>5.5</v>
      </c>
      <c r="E120" s="27">
        <v>15</v>
      </c>
      <c r="F120" s="28">
        <v>47</v>
      </c>
      <c r="G120" s="186">
        <v>54</v>
      </c>
      <c r="H120" s="27" t="s">
        <v>160</v>
      </c>
      <c r="I120" s="28">
        <v>2900</v>
      </c>
      <c r="J120" s="38" t="s">
        <v>566</v>
      </c>
      <c r="K120" s="39">
        <v>74</v>
      </c>
      <c r="L120" s="42">
        <f>0.872*0.358*0.38</f>
        <v>0.11862688</v>
      </c>
      <c r="M120" s="246">
        <v>1256.2462800000001</v>
      </c>
      <c r="N120" s="247">
        <v>1404.8031600000002</v>
      </c>
    </row>
    <row r="121" spans="1:14" ht="15.75" thickBot="1">
      <c r="A121" s="2"/>
      <c r="B121" s="13" t="s">
        <v>164</v>
      </c>
      <c r="C121" s="14">
        <v>4</v>
      </c>
      <c r="D121" s="15">
        <v>5.5</v>
      </c>
      <c r="E121" s="27">
        <v>15</v>
      </c>
      <c r="F121" s="28">
        <v>58</v>
      </c>
      <c r="G121" s="186">
        <v>68</v>
      </c>
      <c r="H121" s="27" t="s">
        <v>160</v>
      </c>
      <c r="I121" s="28">
        <v>2900</v>
      </c>
      <c r="J121" s="38" t="s">
        <v>566</v>
      </c>
      <c r="K121" s="39">
        <v>77</v>
      </c>
      <c r="L121" s="42">
        <f>0.917*0.358*0.38</f>
        <v>0.12474868000000001</v>
      </c>
      <c r="M121" s="246">
        <v>1542.3318000000002</v>
      </c>
      <c r="N121" s="247">
        <v>1691.5374000000002</v>
      </c>
    </row>
    <row r="122" spans="1:14" ht="15.75" thickBot="1">
      <c r="A122" s="2"/>
      <c r="B122" s="13" t="s">
        <v>165</v>
      </c>
      <c r="C122" s="14">
        <v>5.5</v>
      </c>
      <c r="D122" s="15">
        <v>7.5</v>
      </c>
      <c r="E122" s="27">
        <v>15</v>
      </c>
      <c r="F122" s="28">
        <v>69</v>
      </c>
      <c r="G122" s="186">
        <v>82</v>
      </c>
      <c r="H122" s="27" t="s">
        <v>160</v>
      </c>
      <c r="I122" s="28">
        <v>2900</v>
      </c>
      <c r="J122" s="38" t="s">
        <v>566</v>
      </c>
      <c r="K122" s="39">
        <v>102</v>
      </c>
      <c r="L122" s="42">
        <f>1.075*0.378*0.42</f>
        <v>0.17066699999999999</v>
      </c>
      <c r="M122" s="246">
        <v>1596.1755600000001</v>
      </c>
      <c r="N122" s="247">
        <v>1744.73244</v>
      </c>
    </row>
    <row r="123" spans="1:14" ht="15.75" thickBot="1">
      <c r="A123" s="2"/>
      <c r="B123" s="13" t="s">
        <v>166</v>
      </c>
      <c r="C123" s="14">
        <v>5.5</v>
      </c>
      <c r="D123" s="15">
        <v>7.5</v>
      </c>
      <c r="E123" s="27">
        <v>15</v>
      </c>
      <c r="F123" s="28">
        <v>81</v>
      </c>
      <c r="G123" s="186">
        <v>96</v>
      </c>
      <c r="H123" s="27" t="s">
        <v>160</v>
      </c>
      <c r="I123" s="28">
        <v>2900</v>
      </c>
      <c r="J123" s="38" t="s">
        <v>566</v>
      </c>
      <c r="K123" s="39">
        <v>103</v>
      </c>
      <c r="L123" s="42">
        <f>1.12*0.378*0.42</f>
        <v>0.17781120000000003</v>
      </c>
      <c r="M123" s="246">
        <v>1649.6949600000003</v>
      </c>
      <c r="N123" s="247">
        <v>1798.2518399999999</v>
      </c>
    </row>
    <row r="124" spans="1:14" ht="15.75" thickBot="1">
      <c r="A124" s="2"/>
      <c r="B124" s="13" t="s">
        <v>167</v>
      </c>
      <c r="C124" s="14">
        <v>7.5</v>
      </c>
      <c r="D124" s="15">
        <v>10</v>
      </c>
      <c r="E124" s="27">
        <v>15</v>
      </c>
      <c r="F124" s="28">
        <v>93</v>
      </c>
      <c r="G124" s="186">
        <v>110</v>
      </c>
      <c r="H124" s="27" t="s">
        <v>160</v>
      </c>
      <c r="I124" s="28">
        <v>2900</v>
      </c>
      <c r="J124" s="38" t="s">
        <v>566</v>
      </c>
      <c r="K124" s="39">
        <v>111</v>
      </c>
      <c r="L124" s="42">
        <f>1.165*0.378*0.42</f>
        <v>0.18495540000000002</v>
      </c>
      <c r="M124" s="246">
        <v>1795.9813200000003</v>
      </c>
      <c r="N124" s="247">
        <v>1919.8868399999999</v>
      </c>
    </row>
    <row r="125" spans="1:14" ht="15.75" thickBot="1">
      <c r="A125" s="2"/>
      <c r="B125" s="13" t="s">
        <v>168</v>
      </c>
      <c r="C125" s="14">
        <v>7.5</v>
      </c>
      <c r="D125" s="15">
        <v>10</v>
      </c>
      <c r="E125" s="27">
        <v>15</v>
      </c>
      <c r="F125" s="28">
        <v>106</v>
      </c>
      <c r="G125" s="186">
        <v>124</v>
      </c>
      <c r="H125" s="27" t="s">
        <v>160</v>
      </c>
      <c r="I125" s="28">
        <v>2900</v>
      </c>
      <c r="J125" s="38" t="s">
        <v>566</v>
      </c>
      <c r="K125" s="39">
        <v>112</v>
      </c>
      <c r="L125" s="42">
        <f>1.21*0.378*0.42</f>
        <v>0.19209960000000001</v>
      </c>
      <c r="M125" s="246">
        <v>1862.7994799999999</v>
      </c>
      <c r="N125" s="247">
        <v>2012.0050799999999</v>
      </c>
    </row>
    <row r="126" spans="1:14" ht="15.75" thickBot="1">
      <c r="A126" s="2"/>
      <c r="B126" s="13" t="s">
        <v>169</v>
      </c>
      <c r="C126" s="14">
        <v>11</v>
      </c>
      <c r="D126" s="15">
        <v>15</v>
      </c>
      <c r="E126" s="27">
        <v>15</v>
      </c>
      <c r="F126" s="28">
        <v>118</v>
      </c>
      <c r="G126" s="186">
        <v>138</v>
      </c>
      <c r="H126" s="27" t="s">
        <v>160</v>
      </c>
      <c r="I126" s="28">
        <v>2900</v>
      </c>
      <c r="J126" s="38" t="s">
        <v>566</v>
      </c>
      <c r="K126" s="39">
        <v>174</v>
      </c>
      <c r="L126" s="42">
        <f>1.395*0.425*0.42</f>
        <v>0.24900750000000002</v>
      </c>
      <c r="M126" s="246">
        <v>2504.7079200000003</v>
      </c>
      <c r="N126" s="247">
        <v>2665.2661200000002</v>
      </c>
    </row>
    <row r="127" spans="1:14" ht="15.75" thickBot="1">
      <c r="A127" s="2"/>
      <c r="B127" s="13" t="s">
        <v>170</v>
      </c>
      <c r="C127" s="14">
        <v>11</v>
      </c>
      <c r="D127" s="15">
        <v>15</v>
      </c>
      <c r="E127" s="27">
        <v>15</v>
      </c>
      <c r="F127" s="28">
        <v>130</v>
      </c>
      <c r="G127" s="186">
        <v>151</v>
      </c>
      <c r="H127" s="27" t="s">
        <v>160</v>
      </c>
      <c r="I127" s="28">
        <v>2900</v>
      </c>
      <c r="J127" s="38" t="s">
        <v>566</v>
      </c>
      <c r="K127" s="39">
        <v>177</v>
      </c>
      <c r="L127" s="42">
        <f>1.44*0.425*0.42</f>
        <v>0.25703999999999999</v>
      </c>
      <c r="M127" s="246">
        <v>2602.3402799999999</v>
      </c>
      <c r="N127" s="247">
        <v>2762.5741200000007</v>
      </c>
    </row>
    <row r="128" spans="1:14" ht="15.75" thickBot="1">
      <c r="A128" s="2"/>
      <c r="B128" s="13" t="s">
        <v>171</v>
      </c>
      <c r="C128" s="14">
        <v>11</v>
      </c>
      <c r="D128" s="15">
        <v>15</v>
      </c>
      <c r="E128" s="27">
        <v>15</v>
      </c>
      <c r="F128" s="28">
        <v>142</v>
      </c>
      <c r="G128" s="186">
        <v>166</v>
      </c>
      <c r="H128" s="27" t="s">
        <v>160</v>
      </c>
      <c r="I128" s="28">
        <v>2900</v>
      </c>
      <c r="J128" s="38" t="s">
        <v>566</v>
      </c>
      <c r="K128" s="39">
        <v>179</v>
      </c>
      <c r="L128" s="42">
        <f>1.485*0.425*0.42</f>
        <v>0.26507249999999999</v>
      </c>
      <c r="M128" s="246">
        <v>2700.297</v>
      </c>
      <c r="N128" s="247">
        <v>2860.5308399999999</v>
      </c>
    </row>
    <row r="129" spans="1:14" ht="15.75" thickBot="1">
      <c r="A129" s="2"/>
      <c r="B129" s="13" t="s">
        <v>172</v>
      </c>
      <c r="C129" s="14">
        <v>11</v>
      </c>
      <c r="D129" s="15">
        <v>15</v>
      </c>
      <c r="E129" s="27">
        <v>15</v>
      </c>
      <c r="F129" s="28">
        <v>152</v>
      </c>
      <c r="G129" s="186">
        <v>180</v>
      </c>
      <c r="H129" s="27" t="s">
        <v>160</v>
      </c>
      <c r="I129" s="28">
        <v>2900</v>
      </c>
      <c r="J129" s="38" t="s">
        <v>566</v>
      </c>
      <c r="K129" s="39">
        <v>181</v>
      </c>
      <c r="L129" s="42">
        <f>1.53*0.425*0.42</f>
        <v>0.27310499999999999</v>
      </c>
      <c r="M129" s="246">
        <v>2797.9293600000001</v>
      </c>
      <c r="N129" s="247">
        <v>2958.1632000000004</v>
      </c>
    </row>
    <row r="130" spans="1:14" ht="15.75" thickBot="1">
      <c r="A130" s="2"/>
      <c r="B130" s="13" t="s">
        <v>173</v>
      </c>
      <c r="C130" s="14">
        <v>11</v>
      </c>
      <c r="D130" s="15">
        <v>15</v>
      </c>
      <c r="E130" s="27">
        <v>15</v>
      </c>
      <c r="F130" s="28">
        <v>165</v>
      </c>
      <c r="G130" s="186">
        <v>194</v>
      </c>
      <c r="H130" s="27" t="s">
        <v>160</v>
      </c>
      <c r="I130" s="28">
        <v>2900</v>
      </c>
      <c r="J130" s="38" t="s">
        <v>566</v>
      </c>
      <c r="K130" s="39">
        <v>183</v>
      </c>
      <c r="L130" s="42">
        <f>1.575*0.425*0.42</f>
        <v>0.28113749999999998</v>
      </c>
      <c r="M130" s="246">
        <v>2895.8860799999998</v>
      </c>
      <c r="N130" s="247">
        <v>3056.1199200000005</v>
      </c>
    </row>
    <row r="131" spans="1:14" ht="15.75" thickBot="1">
      <c r="A131" s="2"/>
      <c r="B131" s="13" t="s">
        <v>174</v>
      </c>
      <c r="C131" s="14">
        <v>15</v>
      </c>
      <c r="D131" s="15">
        <v>20</v>
      </c>
      <c r="E131" s="27">
        <v>15</v>
      </c>
      <c r="F131" s="28">
        <v>178</v>
      </c>
      <c r="G131" s="186">
        <v>208</v>
      </c>
      <c r="H131" s="27" t="s">
        <v>160</v>
      </c>
      <c r="I131" s="28">
        <v>2900</v>
      </c>
      <c r="J131" s="38" t="s">
        <v>566</v>
      </c>
      <c r="K131" s="39">
        <v>199</v>
      </c>
      <c r="L131" s="42">
        <f>1.62*0.425*0.42</f>
        <v>0.28916999999999998</v>
      </c>
      <c r="M131" s="246">
        <v>3047.3622</v>
      </c>
      <c r="N131" s="247">
        <v>3203.0549999999998</v>
      </c>
    </row>
    <row r="132" spans="1:14" ht="15.75" thickBot="1">
      <c r="A132" s="2"/>
      <c r="B132" s="13" t="s">
        <v>175</v>
      </c>
      <c r="C132" s="14">
        <v>15</v>
      </c>
      <c r="D132" s="15">
        <v>20</v>
      </c>
      <c r="E132" s="27">
        <v>15</v>
      </c>
      <c r="F132" s="28">
        <v>189</v>
      </c>
      <c r="G132" s="186">
        <v>222</v>
      </c>
      <c r="H132" s="27" t="s">
        <v>160</v>
      </c>
      <c r="I132" s="28">
        <v>2900</v>
      </c>
      <c r="J132" s="38" t="s">
        <v>566</v>
      </c>
      <c r="K132" s="39">
        <v>202</v>
      </c>
      <c r="L132" s="42">
        <f>1.665*0.425*0.42</f>
        <v>0.29720249999999998</v>
      </c>
      <c r="M132" s="246">
        <v>3145.3189200000002</v>
      </c>
      <c r="N132" s="247">
        <v>3300.6873600000004</v>
      </c>
    </row>
    <row r="133" spans="1:14" ht="15.75" thickBot="1">
      <c r="A133" s="2"/>
      <c r="B133" s="13" t="s">
        <v>176</v>
      </c>
      <c r="C133" s="14">
        <v>15</v>
      </c>
      <c r="D133" s="15">
        <v>20</v>
      </c>
      <c r="E133" s="27">
        <v>15</v>
      </c>
      <c r="F133" s="28">
        <v>201</v>
      </c>
      <c r="G133" s="186">
        <v>236</v>
      </c>
      <c r="H133" s="27" t="s">
        <v>160</v>
      </c>
      <c r="I133" s="28">
        <v>2900</v>
      </c>
      <c r="J133" s="38" t="s">
        <v>566</v>
      </c>
      <c r="K133" s="39">
        <v>203</v>
      </c>
      <c r="L133" s="42">
        <f>1.71*0.425*0.42</f>
        <v>0.30523499999999998</v>
      </c>
      <c r="M133" s="246">
        <v>3243.2756400000003</v>
      </c>
      <c r="N133" s="247">
        <v>3398.64408</v>
      </c>
    </row>
    <row r="134" spans="1:14" ht="15.75" thickBot="1">
      <c r="A134" s="2"/>
      <c r="B134" s="13" t="s">
        <v>177</v>
      </c>
      <c r="C134" s="14">
        <v>15</v>
      </c>
      <c r="D134" s="15">
        <v>20</v>
      </c>
      <c r="E134" s="27">
        <v>15</v>
      </c>
      <c r="F134" s="28">
        <v>213</v>
      </c>
      <c r="G134" s="186">
        <v>250</v>
      </c>
      <c r="H134" s="27" t="s">
        <v>160</v>
      </c>
      <c r="I134" s="28">
        <v>2900</v>
      </c>
      <c r="J134" s="38" t="s">
        <v>566</v>
      </c>
      <c r="K134" s="39">
        <v>206</v>
      </c>
      <c r="L134" s="42">
        <f>1.755*0.425*0.42</f>
        <v>0.31326749999999998</v>
      </c>
      <c r="M134" s="246">
        <v>3382.7504400000007</v>
      </c>
      <c r="N134" s="247">
        <v>3538.4432400000005</v>
      </c>
    </row>
    <row r="135" spans="1:14" ht="15.75" thickBot="1">
      <c r="A135" s="2"/>
      <c r="B135" s="13" t="s">
        <v>178</v>
      </c>
      <c r="C135" s="14">
        <v>1.1000000000000001</v>
      </c>
      <c r="D135" s="15">
        <v>1.5</v>
      </c>
      <c r="E135" s="27">
        <v>20</v>
      </c>
      <c r="F135" s="28">
        <v>10.5</v>
      </c>
      <c r="G135" s="186">
        <v>13.3</v>
      </c>
      <c r="H135" s="27" t="s">
        <v>160</v>
      </c>
      <c r="I135" s="28">
        <v>2900</v>
      </c>
      <c r="J135" s="38" t="s">
        <v>566</v>
      </c>
      <c r="K135" s="39">
        <v>45</v>
      </c>
      <c r="L135" s="42">
        <f>0.652*0.32*0.35</f>
        <v>7.3024000000000006E-2</v>
      </c>
      <c r="M135" s="246">
        <v>901.39643999999998</v>
      </c>
      <c r="N135" s="247">
        <v>1040.8712399999999</v>
      </c>
    </row>
    <row r="136" spans="1:14" ht="15.75" thickBot="1">
      <c r="A136" s="2"/>
      <c r="B136" s="13" t="s">
        <v>179</v>
      </c>
      <c r="C136" s="14">
        <v>2.2000000000000002</v>
      </c>
      <c r="D136" s="15">
        <v>3</v>
      </c>
      <c r="E136" s="27">
        <v>20</v>
      </c>
      <c r="F136" s="28">
        <v>22</v>
      </c>
      <c r="G136" s="186">
        <v>27.2</v>
      </c>
      <c r="H136" s="27" t="s">
        <v>160</v>
      </c>
      <c r="I136" s="28">
        <v>2900</v>
      </c>
      <c r="J136" s="38" t="s">
        <v>566</v>
      </c>
      <c r="K136" s="39">
        <v>54</v>
      </c>
      <c r="L136" s="42">
        <f>0.707*0.325*0.35</f>
        <v>8.042125E-2</v>
      </c>
      <c r="M136" s="246">
        <v>1045.41228</v>
      </c>
      <c r="N136" s="247">
        <v>1199.4832800000001</v>
      </c>
    </row>
    <row r="137" spans="1:14" ht="15.75" thickBot="1">
      <c r="A137" s="2"/>
      <c r="B137" s="13" t="s">
        <v>180</v>
      </c>
      <c r="C137" s="14">
        <v>4</v>
      </c>
      <c r="D137" s="15">
        <v>5.5</v>
      </c>
      <c r="E137" s="27">
        <v>20</v>
      </c>
      <c r="F137" s="28">
        <v>34.5</v>
      </c>
      <c r="G137" s="186">
        <v>41.5</v>
      </c>
      <c r="H137" s="27" t="s">
        <v>160</v>
      </c>
      <c r="I137" s="28">
        <v>2900</v>
      </c>
      <c r="J137" s="38" t="s">
        <v>566</v>
      </c>
      <c r="K137" s="39">
        <v>74</v>
      </c>
      <c r="L137" s="42">
        <f>0.827*0.358*0.38</f>
        <v>0.11250507999999999</v>
      </c>
      <c r="M137" s="246">
        <v>1195.5909600000002</v>
      </c>
      <c r="N137" s="247">
        <v>1377.55692</v>
      </c>
    </row>
    <row r="138" spans="1:14" ht="15.75" thickBot="1">
      <c r="A138" s="2"/>
      <c r="B138" s="13" t="s">
        <v>181</v>
      </c>
      <c r="C138" s="14">
        <v>5.5</v>
      </c>
      <c r="D138" s="15">
        <v>7.5</v>
      </c>
      <c r="E138" s="27">
        <v>20</v>
      </c>
      <c r="F138" s="28">
        <v>46</v>
      </c>
      <c r="G138" s="186">
        <v>55.5</v>
      </c>
      <c r="H138" s="27" t="s">
        <v>160</v>
      </c>
      <c r="I138" s="28">
        <v>2900</v>
      </c>
      <c r="J138" s="38" t="s">
        <v>566</v>
      </c>
      <c r="K138" s="39">
        <v>99</v>
      </c>
      <c r="L138" s="42">
        <f>0.985*0.378*0.42</f>
        <v>0.15637859999999998</v>
      </c>
      <c r="M138" s="246">
        <v>1546.87284</v>
      </c>
      <c r="N138" s="247">
        <v>1727.2170000000001</v>
      </c>
    </row>
    <row r="139" spans="1:14" ht="15.75" thickBot="1">
      <c r="A139" s="2"/>
      <c r="B139" s="13" t="s">
        <v>182</v>
      </c>
      <c r="C139" s="14">
        <v>5.5</v>
      </c>
      <c r="D139" s="15">
        <v>7.5</v>
      </c>
      <c r="E139" s="27">
        <v>20</v>
      </c>
      <c r="F139" s="28">
        <v>58</v>
      </c>
      <c r="G139" s="186">
        <v>69.5</v>
      </c>
      <c r="H139" s="27" t="s">
        <v>160</v>
      </c>
      <c r="I139" s="28">
        <v>2900</v>
      </c>
      <c r="J139" s="38" t="s">
        <v>566</v>
      </c>
      <c r="K139" s="39">
        <v>101</v>
      </c>
      <c r="L139" s="42">
        <f>1.03*0.378*0.42</f>
        <v>0.1635228</v>
      </c>
      <c r="M139" s="246">
        <v>1587.7422000000001</v>
      </c>
      <c r="N139" s="247">
        <v>1768.4107200000003</v>
      </c>
    </row>
    <row r="140" spans="1:14" ht="15.75" thickBot="1">
      <c r="A140" s="2"/>
      <c r="B140" s="13" t="s">
        <v>183</v>
      </c>
      <c r="C140" s="14">
        <v>7.5</v>
      </c>
      <c r="D140" s="15">
        <v>10</v>
      </c>
      <c r="E140" s="27">
        <v>20</v>
      </c>
      <c r="F140" s="28">
        <v>70</v>
      </c>
      <c r="G140" s="186">
        <v>83.8</v>
      </c>
      <c r="H140" s="27" t="s">
        <v>160</v>
      </c>
      <c r="I140" s="28">
        <v>2900</v>
      </c>
      <c r="J140" s="38" t="s">
        <v>566</v>
      </c>
      <c r="K140" s="39">
        <v>111</v>
      </c>
      <c r="L140" s="42">
        <f>1.075*0.378*0.42</f>
        <v>0.17066699999999999</v>
      </c>
      <c r="M140" s="246">
        <v>1730.4606000000001</v>
      </c>
      <c r="N140" s="247">
        <v>1912.1022000000003</v>
      </c>
    </row>
    <row r="141" spans="1:14" ht="15.75" thickBot="1">
      <c r="A141" s="2"/>
      <c r="B141" s="13" t="s">
        <v>184</v>
      </c>
      <c r="C141" s="14">
        <v>7.5</v>
      </c>
      <c r="D141" s="15">
        <v>10</v>
      </c>
      <c r="E141" s="27">
        <v>20</v>
      </c>
      <c r="F141" s="28">
        <v>82</v>
      </c>
      <c r="G141" s="186">
        <v>98</v>
      </c>
      <c r="H141" s="27" t="s">
        <v>160</v>
      </c>
      <c r="I141" s="28">
        <v>2900</v>
      </c>
      <c r="J141" s="38" t="s">
        <v>566</v>
      </c>
      <c r="K141" s="39">
        <v>112</v>
      </c>
      <c r="L141" s="42">
        <f>1.12*0.378*0.42</f>
        <v>0.17781120000000003</v>
      </c>
      <c r="M141" s="246">
        <v>1775.54664</v>
      </c>
      <c r="N141" s="247">
        <v>1957.1882400000002</v>
      </c>
    </row>
    <row r="142" spans="1:14" ht="15.75" thickBot="1">
      <c r="A142" s="2"/>
      <c r="B142" s="13" t="s">
        <v>185</v>
      </c>
      <c r="C142" s="14">
        <v>11</v>
      </c>
      <c r="D142" s="15">
        <v>15</v>
      </c>
      <c r="E142" s="27">
        <v>20</v>
      </c>
      <c r="F142" s="28">
        <v>95</v>
      </c>
      <c r="G142" s="186">
        <v>113</v>
      </c>
      <c r="H142" s="27" t="s">
        <v>160</v>
      </c>
      <c r="I142" s="28">
        <v>2900</v>
      </c>
      <c r="J142" s="38" t="s">
        <v>566</v>
      </c>
      <c r="K142" s="39">
        <v>183</v>
      </c>
      <c r="L142" s="42">
        <f>1.305*0.425*0.42</f>
        <v>0.23294249999999997</v>
      </c>
      <c r="M142" s="246">
        <v>2579.3107200000004</v>
      </c>
      <c r="N142" s="247">
        <v>2758.6818000000003</v>
      </c>
    </row>
    <row r="143" spans="1:14" ht="15.75" thickBot="1">
      <c r="A143" s="2"/>
      <c r="B143" s="13" t="s">
        <v>186</v>
      </c>
      <c r="C143" s="14">
        <v>11</v>
      </c>
      <c r="D143" s="15">
        <v>15</v>
      </c>
      <c r="E143" s="27">
        <v>20</v>
      </c>
      <c r="F143" s="28">
        <v>119</v>
      </c>
      <c r="G143" s="186">
        <v>141</v>
      </c>
      <c r="H143" s="27" t="s">
        <v>160</v>
      </c>
      <c r="I143" s="28">
        <v>2900</v>
      </c>
      <c r="J143" s="38" t="s">
        <v>566</v>
      </c>
      <c r="K143" s="39">
        <v>187</v>
      </c>
      <c r="L143" s="42">
        <f>1.395*0.425*0.42</f>
        <v>0.24900750000000002</v>
      </c>
      <c r="M143" s="246">
        <v>2669.4828000000002</v>
      </c>
      <c r="N143" s="247">
        <v>2849.5026000000003</v>
      </c>
    </row>
    <row r="144" spans="1:14" ht="15.75" thickBot="1">
      <c r="A144" s="2"/>
      <c r="B144" s="13" t="s">
        <v>187</v>
      </c>
      <c r="C144" s="14">
        <v>15</v>
      </c>
      <c r="D144" s="15">
        <v>20</v>
      </c>
      <c r="E144" s="27">
        <v>20</v>
      </c>
      <c r="F144" s="28">
        <v>143</v>
      </c>
      <c r="G144" s="186">
        <v>171</v>
      </c>
      <c r="H144" s="27" t="s">
        <v>160</v>
      </c>
      <c r="I144" s="28">
        <v>2900</v>
      </c>
      <c r="J144" s="38" t="s">
        <v>566</v>
      </c>
      <c r="K144" s="39">
        <v>207</v>
      </c>
      <c r="L144" s="42">
        <f>1.485*0.425*0.42</f>
        <v>0.26507249999999999</v>
      </c>
      <c r="M144" s="246">
        <v>2816.0935200000004</v>
      </c>
      <c r="N144" s="247">
        <v>3004.5466799999999</v>
      </c>
    </row>
    <row r="145" spans="1:14" ht="15.75" thickBot="1">
      <c r="A145" s="2"/>
      <c r="B145" s="13" t="s">
        <v>188</v>
      </c>
      <c r="C145" s="14">
        <v>15</v>
      </c>
      <c r="D145" s="15">
        <v>20</v>
      </c>
      <c r="E145" s="27">
        <v>20</v>
      </c>
      <c r="F145" s="28">
        <v>168</v>
      </c>
      <c r="G145" s="186">
        <v>201</v>
      </c>
      <c r="H145" s="27" t="s">
        <v>160</v>
      </c>
      <c r="I145" s="28">
        <v>2900</v>
      </c>
      <c r="J145" s="38" t="s">
        <v>566</v>
      </c>
      <c r="K145" s="39">
        <v>211</v>
      </c>
      <c r="L145" s="42">
        <f>1.575*0.425*0.42</f>
        <v>0.28113749999999998</v>
      </c>
      <c r="M145" s="246">
        <v>2943.8913600000001</v>
      </c>
      <c r="N145" s="247">
        <v>3134.9394000000002</v>
      </c>
    </row>
    <row r="146" spans="1:14" ht="15.75" thickBot="1">
      <c r="A146" s="2"/>
      <c r="B146" s="13" t="s">
        <v>189</v>
      </c>
      <c r="C146" s="14">
        <v>18.5</v>
      </c>
      <c r="D146" s="15">
        <v>25</v>
      </c>
      <c r="E146" s="27">
        <v>20</v>
      </c>
      <c r="F146" s="28">
        <v>205</v>
      </c>
      <c r="G146" s="186">
        <v>244</v>
      </c>
      <c r="H146" s="27" t="s">
        <v>160</v>
      </c>
      <c r="I146" s="28">
        <v>2900</v>
      </c>
      <c r="J146" s="38" t="s">
        <v>566</v>
      </c>
      <c r="K146" s="39">
        <v>234</v>
      </c>
      <c r="L146" s="42">
        <f>1.76*0.425*0.42</f>
        <v>0.31415999999999999</v>
      </c>
      <c r="M146" s="246">
        <v>3250.0872000000004</v>
      </c>
      <c r="N146" s="247">
        <v>3440.1621600000003</v>
      </c>
    </row>
    <row r="147" spans="1:14" ht="15.75" thickBot="1">
      <c r="A147" s="2"/>
      <c r="B147" s="13" t="s">
        <v>1169</v>
      </c>
      <c r="C147" s="14">
        <v>1.5</v>
      </c>
      <c r="D147" s="15">
        <v>2</v>
      </c>
      <c r="E147" s="27">
        <v>32</v>
      </c>
      <c r="F147" s="28">
        <v>9</v>
      </c>
      <c r="G147" s="186">
        <v>15</v>
      </c>
      <c r="H147" s="27" t="s">
        <v>337</v>
      </c>
      <c r="I147" s="28">
        <v>2900</v>
      </c>
      <c r="J147" s="38" t="s">
        <v>566</v>
      </c>
      <c r="K147" s="39">
        <v>71</v>
      </c>
      <c r="L147" s="42">
        <f>0.34*0.36*0.82</f>
        <v>0.100368</v>
      </c>
      <c r="M147" s="246">
        <v>1260.7873200000001</v>
      </c>
      <c r="N147" s="247">
        <v>1512.16632</v>
      </c>
    </row>
    <row r="148" spans="1:14" ht="15.75" thickBot="1">
      <c r="A148" s="2"/>
      <c r="B148" s="13" t="s">
        <v>1170</v>
      </c>
      <c r="C148" s="14">
        <v>2.2000000000000002</v>
      </c>
      <c r="D148" s="15">
        <v>3</v>
      </c>
      <c r="E148" s="27">
        <v>32</v>
      </c>
      <c r="F148" s="28">
        <v>13</v>
      </c>
      <c r="G148" s="186">
        <v>20</v>
      </c>
      <c r="H148" s="27" t="s">
        <v>337</v>
      </c>
      <c r="I148" s="28">
        <v>2900</v>
      </c>
      <c r="J148" s="38" t="s">
        <v>566</v>
      </c>
      <c r="K148" s="39">
        <v>75</v>
      </c>
      <c r="L148" s="42">
        <f>0.34*0.36*0.82</f>
        <v>0.100368</v>
      </c>
      <c r="M148" s="246">
        <v>1290.9528</v>
      </c>
      <c r="N148" s="247">
        <v>1545.8997600000002</v>
      </c>
    </row>
    <row r="149" spans="1:14" ht="15.75" thickBot="1">
      <c r="A149" s="2"/>
      <c r="B149" s="13" t="s">
        <v>1171</v>
      </c>
      <c r="C149" s="14">
        <v>3</v>
      </c>
      <c r="D149" s="15">
        <v>4</v>
      </c>
      <c r="E149" s="27">
        <v>32</v>
      </c>
      <c r="F149" s="28">
        <v>20</v>
      </c>
      <c r="G149" s="186">
        <v>33</v>
      </c>
      <c r="H149" s="27" t="s">
        <v>337</v>
      </c>
      <c r="I149" s="28">
        <v>2900</v>
      </c>
      <c r="J149" s="38" t="s">
        <v>566</v>
      </c>
      <c r="K149" s="39">
        <v>85</v>
      </c>
      <c r="L149" s="42">
        <f>0.35*0.36*0.94</f>
        <v>0.11843999999999999</v>
      </c>
      <c r="M149" s="246">
        <v>1659.4257600000001</v>
      </c>
      <c r="N149" s="247">
        <v>1951.0254000000002</v>
      </c>
    </row>
    <row r="150" spans="1:14" ht="15.75" thickBot="1">
      <c r="A150" s="2"/>
      <c r="B150" s="13" t="s">
        <v>1172</v>
      </c>
      <c r="C150" s="14">
        <v>4</v>
      </c>
      <c r="D150" s="15">
        <v>5.5</v>
      </c>
      <c r="E150" s="27">
        <v>32</v>
      </c>
      <c r="F150" s="28">
        <v>27</v>
      </c>
      <c r="G150" s="186">
        <v>40</v>
      </c>
      <c r="H150" s="27" t="s">
        <v>337</v>
      </c>
      <c r="I150" s="28">
        <v>2900</v>
      </c>
      <c r="J150" s="38" t="s">
        <v>566</v>
      </c>
      <c r="K150" s="39">
        <v>94</v>
      </c>
      <c r="L150" s="42">
        <f>0.37*0.36*0.95</f>
        <v>0.12653999999999999</v>
      </c>
      <c r="M150" s="246">
        <v>1715.2156799999998</v>
      </c>
      <c r="N150" s="247">
        <v>2008.4371200000003</v>
      </c>
    </row>
    <row r="151" spans="1:14" ht="15.75" thickBot="1">
      <c r="A151" s="2"/>
      <c r="B151" s="13" t="s">
        <v>1173</v>
      </c>
      <c r="C151" s="14">
        <v>5.5</v>
      </c>
      <c r="D151" s="15">
        <v>7.5</v>
      </c>
      <c r="E151" s="27">
        <v>32</v>
      </c>
      <c r="F151" s="28">
        <v>33</v>
      </c>
      <c r="G151" s="186">
        <v>50</v>
      </c>
      <c r="H151" s="27" t="s">
        <v>337</v>
      </c>
      <c r="I151" s="28">
        <v>2900</v>
      </c>
      <c r="J151" s="38" t="s">
        <v>566</v>
      </c>
      <c r="K151" s="39">
        <v>110</v>
      </c>
      <c r="L151" s="42">
        <f>0.39*0.36*1.06</f>
        <v>0.14882400000000001</v>
      </c>
      <c r="M151" s="246">
        <v>2059.6860000000001</v>
      </c>
      <c r="N151" s="247">
        <v>2356.1510400000002</v>
      </c>
    </row>
    <row r="152" spans="1:14" ht="15.75" thickBot="1">
      <c r="A152" s="2"/>
      <c r="B152" s="13" t="s">
        <v>1174</v>
      </c>
      <c r="C152" s="14">
        <v>5.5</v>
      </c>
      <c r="D152" s="15">
        <v>7.5</v>
      </c>
      <c r="E152" s="27">
        <v>32</v>
      </c>
      <c r="F152" s="28">
        <v>40</v>
      </c>
      <c r="G152" s="186">
        <v>57</v>
      </c>
      <c r="H152" s="27" t="s">
        <v>337</v>
      </c>
      <c r="I152" s="28">
        <v>2900</v>
      </c>
      <c r="J152" s="38" t="s">
        <v>566</v>
      </c>
      <c r="K152" s="39">
        <v>110</v>
      </c>
      <c r="L152" s="42">
        <f>0.39*0.36*1.06</f>
        <v>0.14882400000000001</v>
      </c>
      <c r="M152" s="246">
        <v>2059.6860000000001</v>
      </c>
      <c r="N152" s="247">
        <v>2356.1510400000002</v>
      </c>
    </row>
    <row r="153" spans="1:14" ht="15.75" thickBot="1">
      <c r="A153" s="2"/>
      <c r="B153" s="13" t="s">
        <v>1175</v>
      </c>
      <c r="C153" s="14">
        <v>7.5</v>
      </c>
      <c r="D153" s="15">
        <v>10</v>
      </c>
      <c r="E153" s="27">
        <v>32</v>
      </c>
      <c r="F153" s="28">
        <v>46</v>
      </c>
      <c r="G153" s="186">
        <v>72</v>
      </c>
      <c r="H153" s="27" t="s">
        <v>337</v>
      </c>
      <c r="I153" s="28">
        <v>2900</v>
      </c>
      <c r="J153" s="38" t="s">
        <v>566</v>
      </c>
      <c r="K153" s="39">
        <v>120</v>
      </c>
      <c r="L153" s="42">
        <f>0.39*0.36*1.13</f>
        <v>0.15865199999999999</v>
      </c>
      <c r="M153" s="246">
        <v>2229.9749999999999</v>
      </c>
      <c r="N153" s="247">
        <v>2524.8182400000001</v>
      </c>
    </row>
    <row r="154" spans="1:14" ht="15.75" thickBot="1">
      <c r="A154" s="2"/>
      <c r="B154" s="13" t="s">
        <v>1176</v>
      </c>
      <c r="C154" s="14">
        <v>7.5</v>
      </c>
      <c r="D154" s="15">
        <v>10</v>
      </c>
      <c r="E154" s="27">
        <v>32</v>
      </c>
      <c r="F154" s="28">
        <v>53</v>
      </c>
      <c r="G154" s="186">
        <v>78</v>
      </c>
      <c r="H154" s="27" t="s">
        <v>337</v>
      </c>
      <c r="I154" s="28">
        <v>2900</v>
      </c>
      <c r="J154" s="38" t="s">
        <v>566</v>
      </c>
      <c r="K154" s="39">
        <v>120</v>
      </c>
      <c r="L154" s="42">
        <f>0.39*0.36*1.13</f>
        <v>0.15865199999999999</v>
      </c>
      <c r="M154" s="246">
        <v>2229.9749999999999</v>
      </c>
      <c r="N154" s="247">
        <v>2524.8182400000001</v>
      </c>
    </row>
    <row r="155" spans="1:14" ht="15.75" thickBot="1">
      <c r="A155" s="2"/>
      <c r="B155" s="13" t="s">
        <v>1177</v>
      </c>
      <c r="C155" s="14">
        <v>11</v>
      </c>
      <c r="D155" s="15">
        <v>15</v>
      </c>
      <c r="E155" s="27">
        <v>32</v>
      </c>
      <c r="F155" s="28">
        <v>60</v>
      </c>
      <c r="G155" s="186">
        <v>92</v>
      </c>
      <c r="H155" s="27" t="s">
        <v>337</v>
      </c>
      <c r="I155" s="28">
        <v>2900</v>
      </c>
      <c r="J155" s="38" t="s">
        <v>566</v>
      </c>
      <c r="K155" s="39">
        <v>197</v>
      </c>
      <c r="L155" s="42">
        <f>0.44*0.36*1.41</f>
        <v>0.22334399999999996</v>
      </c>
      <c r="M155" s="246">
        <v>3191.7024000000006</v>
      </c>
      <c r="N155" s="247">
        <v>3457.3532400000004</v>
      </c>
    </row>
    <row r="156" spans="1:14" ht="15.75" thickBot="1">
      <c r="A156" s="2"/>
      <c r="B156" s="13" t="s">
        <v>1178</v>
      </c>
      <c r="C156" s="14">
        <v>11</v>
      </c>
      <c r="D156" s="15">
        <v>15</v>
      </c>
      <c r="E156" s="27">
        <v>32</v>
      </c>
      <c r="F156" s="28">
        <v>67</v>
      </c>
      <c r="G156" s="186">
        <v>99</v>
      </c>
      <c r="H156" s="27" t="s">
        <v>337</v>
      </c>
      <c r="I156" s="28">
        <v>2900</v>
      </c>
      <c r="J156" s="38" t="s">
        <v>566</v>
      </c>
      <c r="K156" s="39">
        <v>197</v>
      </c>
      <c r="L156" s="42">
        <f>0.44*0.36*1.41</f>
        <v>0.22334399999999996</v>
      </c>
      <c r="M156" s="246">
        <v>3191.7024000000006</v>
      </c>
      <c r="N156" s="247">
        <v>3457.3532400000004</v>
      </c>
    </row>
    <row r="157" spans="1:14" ht="15.75" thickBot="1">
      <c r="A157" s="2"/>
      <c r="B157" s="13" t="s">
        <v>1179</v>
      </c>
      <c r="C157" s="14">
        <v>11</v>
      </c>
      <c r="D157" s="15">
        <v>15</v>
      </c>
      <c r="E157" s="27">
        <v>32</v>
      </c>
      <c r="F157" s="28">
        <v>74</v>
      </c>
      <c r="G157" s="186">
        <v>108</v>
      </c>
      <c r="H157" s="27" t="s">
        <v>337</v>
      </c>
      <c r="I157" s="28">
        <v>2900</v>
      </c>
      <c r="J157" s="38" t="s">
        <v>566</v>
      </c>
      <c r="K157" s="39">
        <v>201</v>
      </c>
      <c r="L157" s="42">
        <f>0.44*0.36*1.48</f>
        <v>0.23443199999999997</v>
      </c>
      <c r="M157" s="246">
        <v>3359.3965200000002</v>
      </c>
      <c r="N157" s="247">
        <v>3623.7499200000007</v>
      </c>
    </row>
    <row r="158" spans="1:14" ht="15.75" thickBot="1">
      <c r="A158" s="2"/>
      <c r="B158" s="13" t="s">
        <v>1180</v>
      </c>
      <c r="C158" s="14">
        <v>11</v>
      </c>
      <c r="D158" s="15">
        <v>15</v>
      </c>
      <c r="E158" s="27">
        <v>32</v>
      </c>
      <c r="F158" s="28">
        <v>81</v>
      </c>
      <c r="G158" s="186">
        <v>118</v>
      </c>
      <c r="H158" s="27" t="s">
        <v>337</v>
      </c>
      <c r="I158" s="28">
        <v>2900</v>
      </c>
      <c r="J158" s="38" t="s">
        <v>566</v>
      </c>
      <c r="K158" s="39">
        <v>201</v>
      </c>
      <c r="L158" s="42">
        <f>0.44*0.36*1.48</f>
        <v>0.23443199999999997</v>
      </c>
      <c r="M158" s="246">
        <v>3359.3965200000002</v>
      </c>
      <c r="N158" s="247">
        <v>3623.7499200000007</v>
      </c>
    </row>
    <row r="159" spans="1:14" ht="15.75" thickBot="1">
      <c r="A159" s="2"/>
      <c r="B159" s="13" t="s">
        <v>1181</v>
      </c>
      <c r="C159" s="14">
        <v>15</v>
      </c>
      <c r="D159" s="15">
        <v>20</v>
      </c>
      <c r="E159" s="27">
        <v>32</v>
      </c>
      <c r="F159" s="28">
        <v>88</v>
      </c>
      <c r="G159" s="186">
        <v>129</v>
      </c>
      <c r="H159" s="27" t="s">
        <v>337</v>
      </c>
      <c r="I159" s="28">
        <v>2900</v>
      </c>
      <c r="J159" s="38" t="s">
        <v>566</v>
      </c>
      <c r="K159" s="39">
        <v>216</v>
      </c>
      <c r="L159" s="42">
        <f>0.44*0.36*1.55</f>
        <v>0.24551999999999999</v>
      </c>
      <c r="M159" s="246">
        <v>3748.3041600000001</v>
      </c>
      <c r="N159" s="247">
        <v>4060.3384800000003</v>
      </c>
    </row>
    <row r="160" spans="1:14" ht="15.75" thickBot="1">
      <c r="A160" s="2"/>
      <c r="B160" s="13" t="s">
        <v>1182</v>
      </c>
      <c r="C160" s="14">
        <v>15</v>
      </c>
      <c r="D160" s="15">
        <v>20</v>
      </c>
      <c r="E160" s="27">
        <v>32</v>
      </c>
      <c r="F160" s="28">
        <v>95</v>
      </c>
      <c r="G160" s="186">
        <v>138</v>
      </c>
      <c r="H160" s="27" t="s">
        <v>337</v>
      </c>
      <c r="I160" s="28">
        <v>2900</v>
      </c>
      <c r="J160" s="38" t="s">
        <v>566</v>
      </c>
      <c r="K160" s="39">
        <v>216</v>
      </c>
      <c r="L160" s="42">
        <f>0.44*0.36*1.55</f>
        <v>0.24551999999999999</v>
      </c>
      <c r="M160" s="246">
        <v>3748.3041600000001</v>
      </c>
      <c r="N160" s="247">
        <v>4060.3384800000003</v>
      </c>
    </row>
    <row r="161" spans="1:14" ht="15.75" thickBot="1">
      <c r="A161" s="2"/>
      <c r="B161" s="13" t="s">
        <v>1183</v>
      </c>
      <c r="C161" s="14">
        <v>15</v>
      </c>
      <c r="D161" s="15">
        <v>20</v>
      </c>
      <c r="E161" s="27">
        <v>32</v>
      </c>
      <c r="F161" s="28">
        <v>102</v>
      </c>
      <c r="G161" s="186">
        <v>145</v>
      </c>
      <c r="H161" s="27" t="s">
        <v>337</v>
      </c>
      <c r="I161" s="28">
        <v>2900</v>
      </c>
      <c r="J161" s="38" t="s">
        <v>566</v>
      </c>
      <c r="K161" s="39">
        <v>221</v>
      </c>
      <c r="L161" s="42">
        <f>0.44*0.36*1.62</f>
        <v>0.256608</v>
      </c>
      <c r="M161" s="246">
        <v>3859.2352799999999</v>
      </c>
      <c r="N161" s="247">
        <v>4170.9452400000009</v>
      </c>
    </row>
    <row r="162" spans="1:14" ht="15.75" thickBot="1">
      <c r="A162" s="2"/>
      <c r="B162" s="13" t="s">
        <v>1184</v>
      </c>
      <c r="C162" s="14">
        <v>15</v>
      </c>
      <c r="D162" s="15">
        <v>20</v>
      </c>
      <c r="E162" s="27">
        <v>32</v>
      </c>
      <c r="F162" s="28">
        <v>109</v>
      </c>
      <c r="G162" s="186">
        <v>154</v>
      </c>
      <c r="H162" s="27" t="s">
        <v>337</v>
      </c>
      <c r="I162" s="28">
        <v>2900</v>
      </c>
      <c r="J162" s="38" t="s">
        <v>566</v>
      </c>
      <c r="K162" s="39">
        <v>221</v>
      </c>
      <c r="L162" s="42">
        <f>0.44*0.36*1.62</f>
        <v>0.256608</v>
      </c>
      <c r="M162" s="246">
        <v>3859.2352799999999</v>
      </c>
      <c r="N162" s="247">
        <v>4170.9452400000009</v>
      </c>
    </row>
    <row r="163" spans="1:14" ht="15.75" thickBot="1">
      <c r="A163" s="2"/>
      <c r="B163" s="13" t="s">
        <v>1185</v>
      </c>
      <c r="C163" s="14">
        <v>18.5</v>
      </c>
      <c r="D163" s="15">
        <v>25</v>
      </c>
      <c r="E163" s="27">
        <v>32</v>
      </c>
      <c r="F163" s="28">
        <v>117</v>
      </c>
      <c r="G163" s="186">
        <v>163</v>
      </c>
      <c r="H163" s="27" t="s">
        <v>337</v>
      </c>
      <c r="I163" s="28">
        <v>2900</v>
      </c>
      <c r="J163" s="38" t="s">
        <v>566</v>
      </c>
      <c r="K163" s="39">
        <v>241</v>
      </c>
      <c r="L163" s="42">
        <f>0.44*0.36*1.74</f>
        <v>0.27561599999999997</v>
      </c>
      <c r="M163" s="246">
        <v>4139.4823200000001</v>
      </c>
      <c r="N163" s="247">
        <v>4451.1922800000002</v>
      </c>
    </row>
    <row r="164" spans="1:14" ht="15.75" thickBot="1">
      <c r="A164" s="2"/>
      <c r="B164" s="13" t="s">
        <v>1186</v>
      </c>
      <c r="C164" s="14">
        <v>18.5</v>
      </c>
      <c r="D164" s="15">
        <v>25</v>
      </c>
      <c r="E164" s="27">
        <v>32</v>
      </c>
      <c r="F164" s="28">
        <v>124</v>
      </c>
      <c r="G164" s="186">
        <v>172</v>
      </c>
      <c r="H164" s="27" t="s">
        <v>337</v>
      </c>
      <c r="I164" s="28">
        <v>2900</v>
      </c>
      <c r="J164" s="38" t="s">
        <v>566</v>
      </c>
      <c r="K164" s="39">
        <v>241</v>
      </c>
      <c r="L164" s="42">
        <f>0.44*0.36*1.74</f>
        <v>0.27561599999999997</v>
      </c>
      <c r="M164" s="246">
        <v>4139.4823200000001</v>
      </c>
      <c r="N164" s="247">
        <v>4451.1922800000002</v>
      </c>
    </row>
    <row r="165" spans="1:14" ht="15.75" thickBot="1">
      <c r="A165" s="2"/>
      <c r="B165" s="13" t="s">
        <v>1187</v>
      </c>
      <c r="C165" s="14">
        <v>18.5</v>
      </c>
      <c r="D165" s="15">
        <v>25</v>
      </c>
      <c r="E165" s="27">
        <v>32</v>
      </c>
      <c r="F165" s="28">
        <v>131</v>
      </c>
      <c r="G165" s="186">
        <v>182</v>
      </c>
      <c r="H165" s="27" t="s">
        <v>337</v>
      </c>
      <c r="I165" s="28">
        <v>2900</v>
      </c>
      <c r="J165" s="38" t="s">
        <v>566</v>
      </c>
      <c r="K165" s="39">
        <v>247</v>
      </c>
      <c r="L165" s="42">
        <f>0.44*0.36*1.81</f>
        <v>0.28670399999999996</v>
      </c>
      <c r="M165" s="246">
        <v>4265.6583600000004</v>
      </c>
      <c r="N165" s="247">
        <v>4577.6926800000001</v>
      </c>
    </row>
    <row r="166" spans="1:14" ht="15.75" thickBot="1">
      <c r="A166" s="2"/>
      <c r="B166" s="13" t="s">
        <v>1188</v>
      </c>
      <c r="C166" s="14">
        <v>18.5</v>
      </c>
      <c r="D166" s="15">
        <v>25</v>
      </c>
      <c r="E166" s="27">
        <v>32</v>
      </c>
      <c r="F166" s="28">
        <v>138</v>
      </c>
      <c r="G166" s="186">
        <v>193</v>
      </c>
      <c r="H166" s="27" t="s">
        <v>337</v>
      </c>
      <c r="I166" s="28">
        <v>2900</v>
      </c>
      <c r="J166" s="38" t="s">
        <v>566</v>
      </c>
      <c r="K166" s="39">
        <v>247</v>
      </c>
      <c r="L166" s="42">
        <f>0.44*0.36*1.81</f>
        <v>0.28670399999999996</v>
      </c>
      <c r="M166" s="246">
        <v>4265.6583600000004</v>
      </c>
      <c r="N166" s="247">
        <v>4577.6926800000001</v>
      </c>
    </row>
    <row r="167" spans="1:14" ht="15.75" thickBot="1">
      <c r="A167" s="2"/>
      <c r="B167" s="13" t="s">
        <v>1189</v>
      </c>
      <c r="C167" s="14">
        <v>22</v>
      </c>
      <c r="D167" s="15">
        <v>30</v>
      </c>
      <c r="E167" s="27">
        <v>32</v>
      </c>
      <c r="F167" s="28">
        <v>146</v>
      </c>
      <c r="G167" s="186">
        <v>204</v>
      </c>
      <c r="H167" s="27" t="s">
        <v>337</v>
      </c>
      <c r="I167" s="28">
        <v>2900</v>
      </c>
      <c r="J167" s="38" t="s">
        <v>566</v>
      </c>
      <c r="K167" s="39">
        <v>295</v>
      </c>
      <c r="L167" s="42">
        <f>0.47*0.36*1.91</f>
        <v>0.32317199999999996</v>
      </c>
      <c r="M167" s="246">
        <v>5024.336400000001</v>
      </c>
      <c r="N167" s="247">
        <v>5336.3707200000008</v>
      </c>
    </row>
    <row r="168" spans="1:14" ht="15.75" thickBot="1">
      <c r="A168" s="2"/>
      <c r="B168" s="13" t="s">
        <v>1190</v>
      </c>
      <c r="C168" s="14">
        <v>22</v>
      </c>
      <c r="D168" s="15">
        <v>30</v>
      </c>
      <c r="E168" s="27">
        <v>32</v>
      </c>
      <c r="F168" s="28">
        <v>153</v>
      </c>
      <c r="G168" s="186">
        <v>210</v>
      </c>
      <c r="H168" s="27" t="s">
        <v>337</v>
      </c>
      <c r="I168" s="28">
        <v>2900</v>
      </c>
      <c r="J168" s="38" t="s">
        <v>566</v>
      </c>
      <c r="K168" s="39">
        <v>295</v>
      </c>
      <c r="L168" s="42">
        <f>0.47*0.36*1.91</f>
        <v>0.32317199999999996</v>
      </c>
      <c r="M168" s="246">
        <v>5024.336400000001</v>
      </c>
      <c r="N168" s="247">
        <v>5336.3707200000008</v>
      </c>
    </row>
    <row r="169" spans="1:14" ht="15.75" thickBot="1">
      <c r="A169" s="2"/>
      <c r="B169" s="13" t="s">
        <v>1191</v>
      </c>
      <c r="C169" s="14">
        <v>22</v>
      </c>
      <c r="D169" s="15">
        <v>30</v>
      </c>
      <c r="E169" s="27">
        <v>32</v>
      </c>
      <c r="F169" s="28">
        <v>160</v>
      </c>
      <c r="G169" s="186">
        <v>222</v>
      </c>
      <c r="H169" s="27" t="s">
        <v>337</v>
      </c>
      <c r="I169" s="28">
        <v>2900</v>
      </c>
      <c r="J169" s="38" t="s">
        <v>566</v>
      </c>
      <c r="K169" s="39">
        <v>299</v>
      </c>
      <c r="L169" s="42">
        <f>0.47*0.36*1.98</f>
        <v>0.33501599999999998</v>
      </c>
      <c r="M169" s="246">
        <v>5138.1867600000005</v>
      </c>
      <c r="N169" s="247">
        <v>5450.8698000000004</v>
      </c>
    </row>
    <row r="170" spans="1:14" ht="15.75" thickBot="1">
      <c r="A170" s="2"/>
      <c r="B170" s="13" t="s">
        <v>1192</v>
      </c>
      <c r="C170" s="14">
        <v>22</v>
      </c>
      <c r="D170" s="15">
        <v>30</v>
      </c>
      <c r="E170" s="27">
        <v>32</v>
      </c>
      <c r="F170" s="28">
        <v>167</v>
      </c>
      <c r="G170" s="186">
        <v>231</v>
      </c>
      <c r="H170" s="27" t="s">
        <v>337</v>
      </c>
      <c r="I170" s="28">
        <v>2900</v>
      </c>
      <c r="J170" s="38" t="s">
        <v>566</v>
      </c>
      <c r="K170" s="39">
        <v>299</v>
      </c>
      <c r="L170" s="42">
        <f>0.47*0.36*1.98</f>
        <v>0.33501599999999998</v>
      </c>
      <c r="M170" s="246">
        <v>5138.1867600000005</v>
      </c>
      <c r="N170" s="247">
        <v>5450.8698000000004</v>
      </c>
    </row>
    <row r="171" spans="1:14" ht="15.75" thickBot="1">
      <c r="A171" s="2"/>
      <c r="B171" s="13" t="s">
        <v>1193</v>
      </c>
      <c r="C171" s="14">
        <v>30</v>
      </c>
      <c r="D171" s="15">
        <v>40</v>
      </c>
      <c r="E171" s="27">
        <v>32</v>
      </c>
      <c r="F171" s="28">
        <v>174</v>
      </c>
      <c r="G171" s="186">
        <v>246</v>
      </c>
      <c r="H171" s="27" t="s">
        <v>337</v>
      </c>
      <c r="I171" s="28">
        <v>2900</v>
      </c>
      <c r="J171" s="38" t="s">
        <v>566</v>
      </c>
      <c r="K171" s="39">
        <v>363</v>
      </c>
      <c r="L171" s="42">
        <f>0.49*0.36*2.12</f>
        <v>0.37396800000000002</v>
      </c>
      <c r="M171" s="246">
        <v>5992.5510000000004</v>
      </c>
      <c r="N171" s="247">
        <v>6317.2353600000006</v>
      </c>
    </row>
    <row r="172" spans="1:14" ht="15.75" thickBot="1">
      <c r="A172" s="2"/>
      <c r="B172" s="13" t="s">
        <v>1194</v>
      </c>
      <c r="C172" s="14">
        <v>30</v>
      </c>
      <c r="D172" s="15">
        <v>40</v>
      </c>
      <c r="E172" s="27">
        <v>32</v>
      </c>
      <c r="F172" s="28">
        <v>181</v>
      </c>
      <c r="G172" s="186">
        <v>253</v>
      </c>
      <c r="H172" s="27" t="s">
        <v>337</v>
      </c>
      <c r="I172" s="28">
        <v>2900</v>
      </c>
      <c r="J172" s="38" t="s">
        <v>566</v>
      </c>
      <c r="K172" s="39">
        <v>363</v>
      </c>
      <c r="L172" s="42">
        <f>0.49*0.36*2.12</f>
        <v>0.37396800000000002</v>
      </c>
      <c r="M172" s="246">
        <v>5992.5510000000004</v>
      </c>
      <c r="N172" s="247">
        <v>6317.2353600000006</v>
      </c>
    </row>
    <row r="173" spans="1:14" ht="15.75" thickBot="1">
      <c r="A173" s="2"/>
      <c r="B173" s="13" t="s">
        <v>1195</v>
      </c>
      <c r="C173" s="14">
        <v>30</v>
      </c>
      <c r="D173" s="15">
        <v>40</v>
      </c>
      <c r="E173" s="27">
        <v>32</v>
      </c>
      <c r="F173" s="28">
        <v>189</v>
      </c>
      <c r="G173" s="186">
        <v>265</v>
      </c>
      <c r="H173" s="27" t="s">
        <v>337</v>
      </c>
      <c r="I173" s="28">
        <v>2900</v>
      </c>
      <c r="J173" s="38" t="s">
        <v>566</v>
      </c>
      <c r="K173" s="39">
        <v>368</v>
      </c>
      <c r="L173" s="42">
        <f>0.49*0.36*2.19</f>
        <v>0.38631599999999999</v>
      </c>
      <c r="M173" s="246">
        <v>6097.6436400000002</v>
      </c>
      <c r="N173" s="247">
        <v>6410.6510400000006</v>
      </c>
    </row>
    <row r="174" spans="1:14" ht="15.75" thickBot="1">
      <c r="A174" s="2"/>
      <c r="B174" s="13" t="s">
        <v>1196</v>
      </c>
      <c r="C174" s="14">
        <v>30</v>
      </c>
      <c r="D174" s="15">
        <v>40</v>
      </c>
      <c r="E174" s="27">
        <v>32</v>
      </c>
      <c r="F174" s="28">
        <v>196</v>
      </c>
      <c r="G174" s="186">
        <v>273</v>
      </c>
      <c r="H174" s="27" t="s">
        <v>337</v>
      </c>
      <c r="I174" s="28">
        <v>2900</v>
      </c>
      <c r="J174" s="38" t="s">
        <v>566</v>
      </c>
      <c r="K174" s="39">
        <v>368</v>
      </c>
      <c r="L174" s="42">
        <f>0.49*0.36*2.19</f>
        <v>0.38631599999999999</v>
      </c>
      <c r="M174" s="246">
        <v>6097.6436400000002</v>
      </c>
      <c r="N174" s="247">
        <v>6410.6510400000006</v>
      </c>
    </row>
    <row r="175" spans="1:14" ht="15.75" thickBot="1">
      <c r="A175" s="2"/>
      <c r="B175" s="13" t="s">
        <v>1197</v>
      </c>
      <c r="C175" s="14">
        <v>30</v>
      </c>
      <c r="D175" s="15">
        <v>40</v>
      </c>
      <c r="E175" s="27">
        <v>32</v>
      </c>
      <c r="F175" s="28">
        <v>203</v>
      </c>
      <c r="G175" s="186">
        <v>284</v>
      </c>
      <c r="H175" s="27" t="s">
        <v>337</v>
      </c>
      <c r="I175" s="28">
        <v>2900</v>
      </c>
      <c r="J175" s="38" t="s">
        <v>566</v>
      </c>
      <c r="K175" s="39">
        <v>373</v>
      </c>
      <c r="L175" s="42">
        <f>0.49*0.36*2.26</f>
        <v>0.39866399999999996</v>
      </c>
      <c r="M175" s="246">
        <v>6296.4763200000007</v>
      </c>
      <c r="N175" s="247">
        <v>6606.8888400000005</v>
      </c>
    </row>
    <row r="176" spans="1:14" ht="15.75" thickBot="1">
      <c r="A176" s="2"/>
      <c r="B176" s="13" t="s">
        <v>1198</v>
      </c>
      <c r="C176" s="14">
        <v>30</v>
      </c>
      <c r="D176" s="15">
        <v>40</v>
      </c>
      <c r="E176" s="27">
        <v>32</v>
      </c>
      <c r="F176" s="28">
        <v>210</v>
      </c>
      <c r="G176" s="186">
        <v>292</v>
      </c>
      <c r="H176" s="27" t="s">
        <v>337</v>
      </c>
      <c r="I176" s="28">
        <v>2900</v>
      </c>
      <c r="J176" s="38" t="s">
        <v>566</v>
      </c>
      <c r="K176" s="39">
        <v>373</v>
      </c>
      <c r="L176" s="42">
        <f>0.49*0.36*2.26</f>
        <v>0.39866399999999996</v>
      </c>
      <c r="M176" s="246">
        <v>6296.4763200000007</v>
      </c>
      <c r="N176" s="247">
        <v>6606.8888400000005</v>
      </c>
    </row>
    <row r="177" spans="1:14" ht="15.75" thickBot="1">
      <c r="A177" s="2"/>
      <c r="B177" s="13" t="s">
        <v>1199</v>
      </c>
      <c r="C177" s="14">
        <v>30</v>
      </c>
      <c r="D177" s="15">
        <v>40</v>
      </c>
      <c r="E177" s="27">
        <v>32</v>
      </c>
      <c r="F177" s="28">
        <v>218</v>
      </c>
      <c r="G177" s="186">
        <v>304</v>
      </c>
      <c r="H177" s="27" t="s">
        <v>337</v>
      </c>
      <c r="I177" s="28">
        <v>2900</v>
      </c>
      <c r="J177" s="38" t="s">
        <v>566</v>
      </c>
      <c r="K177" s="39">
        <v>379</v>
      </c>
      <c r="L177" s="42">
        <f>0.49*0.36*2.33</f>
        <v>0.41101199999999999</v>
      </c>
      <c r="M177" s="246">
        <v>6399.9471599999997</v>
      </c>
      <c r="N177" s="247">
        <v>6714.57636</v>
      </c>
    </row>
    <row r="178" spans="1:14" ht="15.75" thickBot="1">
      <c r="A178" s="2"/>
      <c r="B178" s="13" t="s">
        <v>1200</v>
      </c>
      <c r="C178" s="14">
        <v>30</v>
      </c>
      <c r="D178" s="15">
        <v>40</v>
      </c>
      <c r="E178" s="27">
        <v>32</v>
      </c>
      <c r="F178" s="28">
        <v>225</v>
      </c>
      <c r="G178" s="186">
        <v>312</v>
      </c>
      <c r="H178" s="27" t="s">
        <v>337</v>
      </c>
      <c r="I178" s="28">
        <v>2900</v>
      </c>
      <c r="J178" s="38" t="s">
        <v>566</v>
      </c>
      <c r="K178" s="39">
        <v>379</v>
      </c>
      <c r="L178" s="42">
        <f>0.49*0.36*2.33</f>
        <v>0.41101199999999999</v>
      </c>
      <c r="M178" s="246">
        <v>6399.9471599999997</v>
      </c>
      <c r="N178" s="247">
        <v>6714.57636</v>
      </c>
    </row>
    <row r="179" spans="1:14" ht="15.75" thickBot="1">
      <c r="A179" s="2"/>
      <c r="B179" s="13" t="s">
        <v>1201</v>
      </c>
      <c r="C179" s="14">
        <v>3</v>
      </c>
      <c r="D179" s="15">
        <v>4</v>
      </c>
      <c r="E179" s="27">
        <v>42</v>
      </c>
      <c r="F179" s="28">
        <v>16</v>
      </c>
      <c r="G179" s="186">
        <v>20</v>
      </c>
      <c r="H179" s="27" t="s">
        <v>370</v>
      </c>
      <c r="I179" s="28">
        <v>2900</v>
      </c>
      <c r="J179" s="38" t="s">
        <v>566</v>
      </c>
      <c r="K179" s="39">
        <v>93</v>
      </c>
      <c r="L179" s="42">
        <f>0.39*0.39*0.93</f>
        <v>0.14145300000000002</v>
      </c>
      <c r="M179" s="246">
        <v>1527.4112399999999</v>
      </c>
      <c r="N179" s="247">
        <v>2045.4141600000003</v>
      </c>
    </row>
    <row r="180" spans="1:14" ht="15.75" thickBot="1">
      <c r="A180" s="2"/>
      <c r="B180" s="13" t="s">
        <v>1202</v>
      </c>
      <c r="C180" s="14">
        <v>4</v>
      </c>
      <c r="D180" s="15">
        <v>5.5</v>
      </c>
      <c r="E180" s="27">
        <v>42</v>
      </c>
      <c r="F180" s="28">
        <v>20</v>
      </c>
      <c r="G180" s="186">
        <v>24</v>
      </c>
      <c r="H180" s="27" t="s">
        <v>370</v>
      </c>
      <c r="I180" s="28">
        <v>2900</v>
      </c>
      <c r="J180" s="38" t="s">
        <v>566</v>
      </c>
      <c r="K180" s="39">
        <v>100</v>
      </c>
      <c r="L180" s="42">
        <f>0.39*0.39*0.94</f>
        <v>0.14297400000000002</v>
      </c>
      <c r="M180" s="246">
        <v>1583.2011600000001</v>
      </c>
      <c r="N180" s="247">
        <v>2101.20408</v>
      </c>
    </row>
    <row r="181" spans="1:14" ht="15.75" thickBot="1">
      <c r="A181" s="2"/>
      <c r="B181" s="13" t="s">
        <v>1203</v>
      </c>
      <c r="C181" s="14">
        <v>5.5</v>
      </c>
      <c r="D181" s="15">
        <v>7.5</v>
      </c>
      <c r="E181" s="27">
        <v>42</v>
      </c>
      <c r="F181" s="28">
        <v>32</v>
      </c>
      <c r="G181" s="186">
        <v>40</v>
      </c>
      <c r="H181" s="27" t="s">
        <v>370</v>
      </c>
      <c r="I181" s="28">
        <v>2900</v>
      </c>
      <c r="J181" s="38" t="s">
        <v>566</v>
      </c>
      <c r="K181" s="39">
        <v>117</v>
      </c>
      <c r="L181" s="42">
        <f>0.41*0.39*1.05</f>
        <v>0.16789499999999999</v>
      </c>
      <c r="M181" s="246">
        <v>1929.6176399999999</v>
      </c>
      <c r="N181" s="247">
        <v>2450.2154399999999</v>
      </c>
    </row>
    <row r="182" spans="1:14" ht="15.75" thickBot="1">
      <c r="A182" s="2"/>
      <c r="B182" s="13" t="s">
        <v>1204</v>
      </c>
      <c r="C182" s="14">
        <v>7.5</v>
      </c>
      <c r="D182" s="15">
        <v>10</v>
      </c>
      <c r="E182" s="27">
        <v>42</v>
      </c>
      <c r="F182" s="28">
        <v>41</v>
      </c>
      <c r="G182" s="186">
        <v>48</v>
      </c>
      <c r="H182" s="27" t="s">
        <v>370</v>
      </c>
      <c r="I182" s="28">
        <v>2900</v>
      </c>
      <c r="J182" s="38" t="s">
        <v>566</v>
      </c>
      <c r="K182" s="39">
        <v>122</v>
      </c>
      <c r="L182" s="42">
        <f>0.41*0.39*1.05</f>
        <v>0.16789499999999999</v>
      </c>
      <c r="M182" s="246">
        <v>1996.4358000000002</v>
      </c>
      <c r="N182" s="247">
        <v>2514.7630800000002</v>
      </c>
    </row>
    <row r="183" spans="1:14" ht="15.75" thickBot="1">
      <c r="A183" s="2"/>
      <c r="B183" s="13" t="s">
        <v>1205</v>
      </c>
      <c r="C183" s="14">
        <v>11</v>
      </c>
      <c r="D183" s="15">
        <v>15</v>
      </c>
      <c r="E183" s="27">
        <v>42</v>
      </c>
      <c r="F183" s="28">
        <v>52</v>
      </c>
      <c r="G183" s="186">
        <v>63</v>
      </c>
      <c r="H183" s="27" t="s">
        <v>370</v>
      </c>
      <c r="I183" s="28">
        <v>2900</v>
      </c>
      <c r="J183" s="38" t="s">
        <v>566</v>
      </c>
      <c r="K183" s="39">
        <v>200</v>
      </c>
      <c r="L183" s="42">
        <f>0.46*0.39*1.35</f>
        <v>0.24219000000000002</v>
      </c>
      <c r="M183" s="246">
        <v>3076.8789600000005</v>
      </c>
      <c r="N183" s="247">
        <v>3625.6960799999997</v>
      </c>
    </row>
    <row r="184" spans="1:14" ht="15.75" thickBot="1">
      <c r="A184" s="2"/>
      <c r="B184" s="13" t="s">
        <v>1206</v>
      </c>
      <c r="C184" s="14">
        <v>11</v>
      </c>
      <c r="D184" s="15">
        <v>15</v>
      </c>
      <c r="E184" s="27">
        <v>42</v>
      </c>
      <c r="F184" s="28">
        <v>61</v>
      </c>
      <c r="G184" s="186">
        <v>71</v>
      </c>
      <c r="H184" s="27" t="s">
        <v>370</v>
      </c>
      <c r="I184" s="28">
        <v>2900</v>
      </c>
      <c r="J184" s="38" t="s">
        <v>566</v>
      </c>
      <c r="K184" s="39">
        <v>200</v>
      </c>
      <c r="L184" s="42">
        <f>0.46*0.39*1.35</f>
        <v>0.24219000000000002</v>
      </c>
      <c r="M184" s="246">
        <v>3076.8789600000005</v>
      </c>
      <c r="N184" s="247">
        <v>3625.6960799999997</v>
      </c>
    </row>
    <row r="185" spans="1:14" ht="15.75" thickBot="1">
      <c r="A185" s="2"/>
      <c r="B185" s="13" t="s">
        <v>1207</v>
      </c>
      <c r="C185" s="14">
        <v>15</v>
      </c>
      <c r="D185" s="15">
        <v>20</v>
      </c>
      <c r="E185" s="27">
        <v>42</v>
      </c>
      <c r="F185" s="28">
        <v>73</v>
      </c>
      <c r="G185" s="186">
        <v>87</v>
      </c>
      <c r="H185" s="27" t="s">
        <v>370</v>
      </c>
      <c r="I185" s="28">
        <v>2900</v>
      </c>
      <c r="J185" s="38" t="s">
        <v>566</v>
      </c>
      <c r="K185" s="39">
        <v>215</v>
      </c>
      <c r="L185" s="42">
        <f>0.46*0.39*1.43</f>
        <v>0.25654199999999999</v>
      </c>
      <c r="M185" s="246">
        <v>3649.6987200000003</v>
      </c>
      <c r="N185" s="247">
        <v>4289.6610000000001</v>
      </c>
    </row>
    <row r="186" spans="1:14" ht="15.75" thickBot="1">
      <c r="A186" s="2"/>
      <c r="B186" s="13" t="s">
        <v>1208</v>
      </c>
      <c r="C186" s="14">
        <v>15</v>
      </c>
      <c r="D186" s="15">
        <v>20</v>
      </c>
      <c r="E186" s="27">
        <v>42</v>
      </c>
      <c r="F186" s="28">
        <v>81</v>
      </c>
      <c r="G186" s="186">
        <v>95</v>
      </c>
      <c r="H186" s="27" t="s">
        <v>370</v>
      </c>
      <c r="I186" s="28">
        <v>2900</v>
      </c>
      <c r="J186" s="38" t="s">
        <v>566</v>
      </c>
      <c r="K186" s="39">
        <v>215</v>
      </c>
      <c r="L186" s="42">
        <f>0.46*0.39*1.43</f>
        <v>0.25654199999999999</v>
      </c>
      <c r="M186" s="246">
        <v>3649.6987200000003</v>
      </c>
      <c r="N186" s="247">
        <v>4289.6610000000001</v>
      </c>
    </row>
    <row r="187" spans="1:14" ht="15.75" thickBot="1">
      <c r="A187" s="2"/>
      <c r="B187" s="13" t="s">
        <v>1209</v>
      </c>
      <c r="C187" s="14">
        <v>18.5</v>
      </c>
      <c r="D187" s="15">
        <v>25</v>
      </c>
      <c r="E187" s="27">
        <v>42</v>
      </c>
      <c r="F187" s="28">
        <v>93</v>
      </c>
      <c r="G187" s="186">
        <v>111</v>
      </c>
      <c r="H187" s="27" t="s">
        <v>370</v>
      </c>
      <c r="I187" s="28">
        <v>2900</v>
      </c>
      <c r="J187" s="38" t="s">
        <v>566</v>
      </c>
      <c r="K187" s="39">
        <v>241</v>
      </c>
      <c r="L187" s="42">
        <f>0.46*0.39*1.56</f>
        <v>0.279864</v>
      </c>
      <c r="M187" s="246">
        <v>3949.4073599999997</v>
      </c>
      <c r="N187" s="247">
        <v>4590.3427200000006</v>
      </c>
    </row>
    <row r="188" spans="1:14" ht="15.75" thickBot="1">
      <c r="A188" s="2"/>
      <c r="B188" s="13" t="s">
        <v>1210</v>
      </c>
      <c r="C188" s="14">
        <v>18.5</v>
      </c>
      <c r="D188" s="15">
        <v>25</v>
      </c>
      <c r="E188" s="27">
        <v>42</v>
      </c>
      <c r="F188" s="28">
        <v>101</v>
      </c>
      <c r="G188" s="186">
        <v>119</v>
      </c>
      <c r="H188" s="27" t="s">
        <v>370</v>
      </c>
      <c r="I188" s="28">
        <v>2900</v>
      </c>
      <c r="J188" s="38" t="s">
        <v>566</v>
      </c>
      <c r="K188" s="39">
        <v>241</v>
      </c>
      <c r="L188" s="42">
        <f>0.46*0.39*1.56</f>
        <v>0.279864</v>
      </c>
      <c r="M188" s="246">
        <v>3949.4073599999997</v>
      </c>
      <c r="N188" s="247">
        <v>4590.3427200000006</v>
      </c>
    </row>
    <row r="189" spans="1:14" ht="15.75" thickBot="1">
      <c r="A189" s="2"/>
      <c r="B189" s="13" t="s">
        <v>1211</v>
      </c>
      <c r="C189" s="14">
        <v>22</v>
      </c>
      <c r="D189" s="15">
        <v>30</v>
      </c>
      <c r="E189" s="27">
        <v>42</v>
      </c>
      <c r="F189" s="28">
        <v>113</v>
      </c>
      <c r="G189" s="186">
        <v>135</v>
      </c>
      <c r="H189" s="27" t="s">
        <v>370</v>
      </c>
      <c r="I189" s="28">
        <v>2900</v>
      </c>
      <c r="J189" s="38" t="s">
        <v>566</v>
      </c>
      <c r="K189" s="39">
        <v>283</v>
      </c>
      <c r="L189" s="42">
        <f>0.49*0.39*1.66</f>
        <v>0.31722599999999995</v>
      </c>
      <c r="M189" s="246">
        <v>4628.6172000000006</v>
      </c>
      <c r="N189" s="247">
        <v>5269.5525600000001</v>
      </c>
    </row>
    <row r="190" spans="1:14" ht="15.75" thickBot="1">
      <c r="A190" s="2"/>
      <c r="B190" s="13" t="s">
        <v>1212</v>
      </c>
      <c r="C190" s="14">
        <v>22</v>
      </c>
      <c r="D190" s="15">
        <v>30</v>
      </c>
      <c r="E190" s="27">
        <v>42</v>
      </c>
      <c r="F190" s="28">
        <v>122</v>
      </c>
      <c r="G190" s="186">
        <v>143</v>
      </c>
      <c r="H190" s="27" t="s">
        <v>370</v>
      </c>
      <c r="I190" s="28">
        <v>2900</v>
      </c>
      <c r="J190" s="38" t="s">
        <v>566</v>
      </c>
      <c r="K190" s="39">
        <v>283</v>
      </c>
      <c r="L190" s="42">
        <f>0.49*0.39*1.66</f>
        <v>0.31722599999999995</v>
      </c>
      <c r="M190" s="246">
        <v>4628.6172000000006</v>
      </c>
      <c r="N190" s="247">
        <v>5269.5525600000001</v>
      </c>
    </row>
    <row r="191" spans="1:14" ht="15.75" thickBot="1">
      <c r="A191" s="2"/>
      <c r="B191" s="13" t="s">
        <v>1213</v>
      </c>
      <c r="C191" s="14">
        <v>30</v>
      </c>
      <c r="D191" s="15">
        <v>40</v>
      </c>
      <c r="E191" s="27">
        <v>42</v>
      </c>
      <c r="F191" s="28">
        <v>134</v>
      </c>
      <c r="G191" s="186">
        <v>158</v>
      </c>
      <c r="H191" s="27" t="s">
        <v>370</v>
      </c>
      <c r="I191" s="28">
        <v>2900</v>
      </c>
      <c r="J191" s="38" t="s">
        <v>566</v>
      </c>
      <c r="K191" s="39">
        <v>345</v>
      </c>
      <c r="L191" s="42">
        <f>0.51*0.39*1.82</f>
        <v>0.36199800000000004</v>
      </c>
      <c r="M191" s="246">
        <v>5518.66104</v>
      </c>
      <c r="N191" s="247">
        <v>6161.2182000000003</v>
      </c>
    </row>
    <row r="192" spans="1:14" ht="15.75" thickBot="1">
      <c r="A192" s="2"/>
      <c r="B192" s="13" t="s">
        <v>1214</v>
      </c>
      <c r="C192" s="14">
        <v>30</v>
      </c>
      <c r="D192" s="15">
        <v>40</v>
      </c>
      <c r="E192" s="27">
        <v>42</v>
      </c>
      <c r="F192" s="28">
        <v>142</v>
      </c>
      <c r="G192" s="186">
        <v>166</v>
      </c>
      <c r="H192" s="27" t="s">
        <v>370</v>
      </c>
      <c r="I192" s="28">
        <v>2900</v>
      </c>
      <c r="J192" s="38" t="s">
        <v>566</v>
      </c>
      <c r="K192" s="39">
        <v>345</v>
      </c>
      <c r="L192" s="42">
        <f>0.51*0.39*1.82</f>
        <v>0.36199800000000004</v>
      </c>
      <c r="M192" s="246">
        <v>5518.66104</v>
      </c>
      <c r="N192" s="247">
        <v>6161.2182000000003</v>
      </c>
    </row>
    <row r="193" spans="1:14" ht="15.75" thickBot="1">
      <c r="A193" s="2"/>
      <c r="B193" s="13" t="s">
        <v>1215</v>
      </c>
      <c r="C193" s="14">
        <v>30</v>
      </c>
      <c r="D193" s="15">
        <v>40</v>
      </c>
      <c r="E193" s="27">
        <v>42</v>
      </c>
      <c r="F193" s="28">
        <v>154</v>
      </c>
      <c r="G193" s="186">
        <v>182</v>
      </c>
      <c r="H193" s="27" t="s">
        <v>370</v>
      </c>
      <c r="I193" s="28">
        <v>2900</v>
      </c>
      <c r="J193" s="38" t="s">
        <v>566</v>
      </c>
      <c r="K193" s="39">
        <v>350</v>
      </c>
      <c r="L193" s="42">
        <f>0.51*0.39*1.9</f>
        <v>0.37791000000000002</v>
      </c>
      <c r="M193" s="246">
        <v>5661.0550800000001</v>
      </c>
      <c r="N193" s="247">
        <v>6299.7199200000014</v>
      </c>
    </row>
    <row r="194" spans="1:14" ht="15.75" thickBot="1">
      <c r="A194" s="2"/>
      <c r="B194" s="13" t="s">
        <v>1216</v>
      </c>
      <c r="C194" s="14">
        <v>30</v>
      </c>
      <c r="D194" s="15">
        <v>40</v>
      </c>
      <c r="E194" s="27">
        <v>42</v>
      </c>
      <c r="F194" s="28">
        <v>162</v>
      </c>
      <c r="G194" s="186">
        <v>190</v>
      </c>
      <c r="H194" s="27" t="s">
        <v>370</v>
      </c>
      <c r="I194" s="28">
        <v>2900</v>
      </c>
      <c r="J194" s="38" t="s">
        <v>566</v>
      </c>
      <c r="K194" s="39">
        <v>350</v>
      </c>
      <c r="L194" s="42">
        <f>0.51*0.39*1.9</f>
        <v>0.37791000000000002</v>
      </c>
      <c r="M194" s="246">
        <v>5661.0550800000001</v>
      </c>
      <c r="N194" s="247">
        <v>6299.7199200000014</v>
      </c>
    </row>
    <row r="195" spans="1:14" ht="15.75" thickBot="1">
      <c r="A195" s="2"/>
      <c r="B195" s="13" t="s">
        <v>1217</v>
      </c>
      <c r="C195" s="14">
        <v>30</v>
      </c>
      <c r="D195" s="15">
        <v>40</v>
      </c>
      <c r="E195" s="27">
        <v>42</v>
      </c>
      <c r="F195" s="28">
        <v>174</v>
      </c>
      <c r="G195" s="186">
        <v>205</v>
      </c>
      <c r="H195" s="27" t="s">
        <v>370</v>
      </c>
      <c r="I195" s="28">
        <v>2900</v>
      </c>
      <c r="J195" s="38" t="s">
        <v>566</v>
      </c>
      <c r="K195" s="39">
        <v>356</v>
      </c>
      <c r="L195" s="42">
        <f>0.51*0.39*1.98</f>
        <v>0.39382200000000006</v>
      </c>
      <c r="M195" s="246">
        <v>5797.9350000000004</v>
      </c>
      <c r="N195" s="247">
        <v>6438.8703600000008</v>
      </c>
    </row>
    <row r="196" spans="1:14" ht="15.75" thickBot="1">
      <c r="A196" s="2"/>
      <c r="B196" s="13" t="s">
        <v>1218</v>
      </c>
      <c r="C196" s="14">
        <v>37</v>
      </c>
      <c r="D196" s="15">
        <v>50</v>
      </c>
      <c r="E196" s="27">
        <v>42</v>
      </c>
      <c r="F196" s="28">
        <v>183</v>
      </c>
      <c r="G196" s="186">
        <v>214</v>
      </c>
      <c r="H196" s="27" t="s">
        <v>370</v>
      </c>
      <c r="I196" s="28">
        <v>2900</v>
      </c>
      <c r="J196" s="38" t="s">
        <v>566</v>
      </c>
      <c r="K196" s="39">
        <v>380</v>
      </c>
      <c r="L196" s="42">
        <f>0.51*0.39*1.98</f>
        <v>0.39382200000000006</v>
      </c>
      <c r="M196" s="246">
        <v>6047.3678400000008</v>
      </c>
      <c r="N196" s="247">
        <v>6686.3570400000008</v>
      </c>
    </row>
    <row r="197" spans="1:14" ht="15.75" thickBot="1">
      <c r="A197" s="2"/>
      <c r="B197" s="13" t="s">
        <v>1219</v>
      </c>
      <c r="C197" s="14">
        <v>37</v>
      </c>
      <c r="D197" s="15">
        <v>50</v>
      </c>
      <c r="E197" s="27">
        <v>42</v>
      </c>
      <c r="F197" s="28">
        <v>194</v>
      </c>
      <c r="G197" s="186">
        <v>230</v>
      </c>
      <c r="H197" s="27" t="s">
        <v>370</v>
      </c>
      <c r="I197" s="28">
        <v>2900</v>
      </c>
      <c r="J197" s="38" t="s">
        <v>566</v>
      </c>
      <c r="K197" s="39">
        <v>384</v>
      </c>
      <c r="L197" s="42">
        <f>0.51*0.39*2.06</f>
        <v>0.40973400000000004</v>
      </c>
      <c r="M197" s="246">
        <v>6279.9339600000003</v>
      </c>
      <c r="N197" s="247">
        <v>6920.2206000000006</v>
      </c>
    </row>
    <row r="198" spans="1:14" ht="15.75" thickBot="1">
      <c r="A198" s="2"/>
      <c r="B198" s="13" t="s">
        <v>1220</v>
      </c>
      <c r="C198" s="14">
        <v>37</v>
      </c>
      <c r="D198" s="15">
        <v>50</v>
      </c>
      <c r="E198" s="27">
        <v>42</v>
      </c>
      <c r="F198" s="28">
        <v>203</v>
      </c>
      <c r="G198" s="186">
        <v>238</v>
      </c>
      <c r="H198" s="27" t="s">
        <v>370</v>
      </c>
      <c r="I198" s="28">
        <v>2900</v>
      </c>
      <c r="J198" s="38" t="s">
        <v>566</v>
      </c>
      <c r="K198" s="39">
        <v>384</v>
      </c>
      <c r="L198" s="42">
        <f>0.51*0.39*2.06</f>
        <v>0.40973400000000004</v>
      </c>
      <c r="M198" s="246">
        <v>6279.9339600000003</v>
      </c>
      <c r="N198" s="247">
        <v>6920.2206000000006</v>
      </c>
    </row>
    <row r="199" spans="1:14" ht="15.75" thickBot="1">
      <c r="A199" s="2"/>
      <c r="B199" s="13" t="s">
        <v>1221</v>
      </c>
      <c r="C199" s="14">
        <v>45</v>
      </c>
      <c r="D199" s="15">
        <v>60</v>
      </c>
      <c r="E199" s="27">
        <v>42</v>
      </c>
      <c r="F199" s="28">
        <v>217</v>
      </c>
      <c r="G199" s="186">
        <v>255</v>
      </c>
      <c r="H199" s="27" t="s">
        <v>370</v>
      </c>
      <c r="I199" s="28">
        <v>2900</v>
      </c>
      <c r="J199" s="38" t="s">
        <v>566</v>
      </c>
      <c r="K199" s="39">
        <v>459</v>
      </c>
      <c r="L199" s="42">
        <f>0.55*0.39*2.17</f>
        <v>0.46546500000000002</v>
      </c>
      <c r="M199" s="246">
        <v>7219.9292400000013</v>
      </c>
      <c r="N199" s="247">
        <v>7859.8915200000001</v>
      </c>
    </row>
    <row r="200" spans="1:14" ht="15.75" thickBot="1">
      <c r="A200" s="2"/>
      <c r="B200" s="13" t="s">
        <v>1222</v>
      </c>
      <c r="C200" s="14">
        <v>45</v>
      </c>
      <c r="D200" s="15">
        <v>60</v>
      </c>
      <c r="E200" s="27">
        <v>42</v>
      </c>
      <c r="F200" s="28">
        <v>225</v>
      </c>
      <c r="G200" s="186">
        <v>263</v>
      </c>
      <c r="H200" s="27" t="s">
        <v>370</v>
      </c>
      <c r="I200" s="28">
        <v>2900</v>
      </c>
      <c r="J200" s="38" t="s">
        <v>566</v>
      </c>
      <c r="K200" s="39">
        <v>459</v>
      </c>
      <c r="L200" s="42">
        <f>0.55*0.39*2.17</f>
        <v>0.46546500000000002</v>
      </c>
      <c r="M200" s="246">
        <v>7219.9292400000013</v>
      </c>
      <c r="N200" s="247">
        <v>7859.8915200000001</v>
      </c>
    </row>
    <row r="201" spans="1:14" ht="15.75" thickBot="1">
      <c r="A201" s="2"/>
      <c r="B201" s="13" t="s">
        <v>1223</v>
      </c>
      <c r="C201" s="14">
        <v>45</v>
      </c>
      <c r="D201" s="15">
        <v>60</v>
      </c>
      <c r="E201" s="27">
        <v>42</v>
      </c>
      <c r="F201" s="28">
        <v>238</v>
      </c>
      <c r="G201" s="186">
        <v>280</v>
      </c>
      <c r="H201" s="27" t="s">
        <v>370</v>
      </c>
      <c r="I201" s="28">
        <v>2900</v>
      </c>
      <c r="J201" s="38" t="s">
        <v>566</v>
      </c>
      <c r="K201" s="39">
        <v>466</v>
      </c>
      <c r="L201" s="42">
        <f>0.55*0.39*2.25</f>
        <v>0.48262500000000008</v>
      </c>
      <c r="M201" s="246">
        <v>7361.3502000000008</v>
      </c>
      <c r="N201" s="247">
        <v>8001.9612000000006</v>
      </c>
    </row>
    <row r="202" spans="1:14" ht="15.75" thickBot="1">
      <c r="A202" s="2"/>
      <c r="B202" s="13" t="s">
        <v>1224</v>
      </c>
      <c r="C202" s="14">
        <v>45</v>
      </c>
      <c r="D202" s="15">
        <v>60</v>
      </c>
      <c r="E202" s="27">
        <v>42</v>
      </c>
      <c r="F202" s="28">
        <v>247</v>
      </c>
      <c r="G202" s="186">
        <v>289</v>
      </c>
      <c r="H202" s="27" t="s">
        <v>370</v>
      </c>
      <c r="I202" s="28">
        <v>2900</v>
      </c>
      <c r="J202" s="38" t="s">
        <v>566</v>
      </c>
      <c r="K202" s="39">
        <v>466</v>
      </c>
      <c r="L202" s="42">
        <f>0.55*0.39*2.25</f>
        <v>0.48262500000000008</v>
      </c>
      <c r="M202" s="246">
        <v>7361.3502000000008</v>
      </c>
      <c r="N202" s="247">
        <v>8001.9612000000006</v>
      </c>
    </row>
    <row r="203" spans="1:14" ht="15.75" thickBot="1">
      <c r="A203" s="2"/>
      <c r="B203" s="13" t="s">
        <v>1225</v>
      </c>
      <c r="C203" s="14">
        <v>45</v>
      </c>
      <c r="D203" s="15">
        <v>60</v>
      </c>
      <c r="E203" s="27">
        <v>42</v>
      </c>
      <c r="F203" s="28">
        <v>259</v>
      </c>
      <c r="G203" s="186">
        <v>305</v>
      </c>
      <c r="H203" s="27" t="s">
        <v>370</v>
      </c>
      <c r="I203" s="28">
        <v>2900</v>
      </c>
      <c r="J203" s="38" t="s">
        <v>566</v>
      </c>
      <c r="K203" s="39">
        <v>473</v>
      </c>
      <c r="L203" s="42">
        <f>0.55*0.39*2.33</f>
        <v>0.49978500000000009</v>
      </c>
      <c r="M203" s="246">
        <v>7504.392960000001</v>
      </c>
      <c r="N203" s="247">
        <v>8143.382160000001</v>
      </c>
    </row>
    <row r="204" spans="1:14" ht="15.75" thickBot="1">
      <c r="A204" s="2"/>
      <c r="B204" s="13" t="s">
        <v>1226</v>
      </c>
      <c r="C204" s="14">
        <v>4</v>
      </c>
      <c r="D204" s="15">
        <v>5.5</v>
      </c>
      <c r="E204" s="27">
        <v>65</v>
      </c>
      <c r="F204" s="28">
        <v>13</v>
      </c>
      <c r="G204" s="186">
        <v>19</v>
      </c>
      <c r="H204" s="27" t="s">
        <v>396</v>
      </c>
      <c r="I204" s="28">
        <v>2900</v>
      </c>
      <c r="J204" s="38" t="s">
        <v>566</v>
      </c>
      <c r="K204" s="39">
        <v>103</v>
      </c>
      <c r="L204" s="42">
        <f>0.39*0.39*0.94</f>
        <v>0.14297400000000002</v>
      </c>
      <c r="M204" s="246">
        <v>1650.9924000000001</v>
      </c>
      <c r="N204" s="247">
        <v>2248.1391600000002</v>
      </c>
    </row>
    <row r="205" spans="1:14" ht="15.75" thickBot="1">
      <c r="A205" s="2"/>
      <c r="B205" s="13" t="s">
        <v>1227</v>
      </c>
      <c r="C205" s="14">
        <v>5.5</v>
      </c>
      <c r="D205" s="15">
        <v>7.5</v>
      </c>
      <c r="E205" s="27">
        <v>65</v>
      </c>
      <c r="F205" s="28">
        <v>20</v>
      </c>
      <c r="G205" s="186">
        <v>27</v>
      </c>
      <c r="H205" s="27" t="s">
        <v>396</v>
      </c>
      <c r="I205" s="28">
        <v>2900</v>
      </c>
      <c r="J205" s="38" t="s">
        <v>566</v>
      </c>
      <c r="K205" s="39">
        <v>116</v>
      </c>
      <c r="L205" s="42">
        <f>0.41*0.39*0.97</f>
        <v>0.15510299999999999</v>
      </c>
      <c r="M205" s="246">
        <v>1894.9111200000004</v>
      </c>
      <c r="N205" s="247">
        <v>2491.0848000000001</v>
      </c>
    </row>
    <row r="206" spans="1:14" ht="15.75" thickBot="1">
      <c r="A206" s="2"/>
      <c r="B206" s="13" t="s">
        <v>1228</v>
      </c>
      <c r="C206" s="14">
        <v>7.5</v>
      </c>
      <c r="D206" s="15">
        <v>10</v>
      </c>
      <c r="E206" s="27">
        <v>65</v>
      </c>
      <c r="F206" s="28">
        <v>26</v>
      </c>
      <c r="G206" s="186">
        <v>39</v>
      </c>
      <c r="H206" s="27" t="s">
        <v>396</v>
      </c>
      <c r="I206" s="28">
        <v>2900</v>
      </c>
      <c r="J206" s="38" t="s">
        <v>566</v>
      </c>
      <c r="K206" s="39">
        <v>122</v>
      </c>
      <c r="L206" s="42">
        <f>0.41*0.39*1.05</f>
        <v>0.16789499999999999</v>
      </c>
      <c r="M206" s="246">
        <v>2248.1391600000002</v>
      </c>
      <c r="N206" s="247">
        <v>2844.3128400000001</v>
      </c>
    </row>
    <row r="207" spans="1:14" ht="15.75" thickBot="1">
      <c r="A207" s="2"/>
      <c r="B207" s="13" t="s">
        <v>1229</v>
      </c>
      <c r="C207" s="14">
        <v>11</v>
      </c>
      <c r="D207" s="15">
        <v>15</v>
      </c>
      <c r="E207" s="27">
        <v>65</v>
      </c>
      <c r="F207" s="28">
        <v>33</v>
      </c>
      <c r="G207" s="186">
        <v>46</v>
      </c>
      <c r="H207" s="27" t="s">
        <v>396</v>
      </c>
      <c r="I207" s="28">
        <v>2900</v>
      </c>
      <c r="J207" s="38" t="s">
        <v>566</v>
      </c>
      <c r="K207" s="39">
        <v>198</v>
      </c>
      <c r="L207" s="42">
        <f>0.46*0.39*1.27</f>
        <v>0.22783800000000001</v>
      </c>
      <c r="M207" s="246">
        <v>2986.7068799999997</v>
      </c>
      <c r="N207" s="247">
        <v>3614.34348</v>
      </c>
    </row>
    <row r="208" spans="1:14" ht="15.75" thickBot="1">
      <c r="A208" s="2"/>
      <c r="B208" s="13" t="s">
        <v>1230</v>
      </c>
      <c r="C208" s="14">
        <v>11</v>
      </c>
      <c r="D208" s="15">
        <v>15</v>
      </c>
      <c r="E208" s="27">
        <v>65</v>
      </c>
      <c r="F208" s="28">
        <v>40</v>
      </c>
      <c r="G208" s="186">
        <v>53</v>
      </c>
      <c r="H208" s="27" t="s">
        <v>396</v>
      </c>
      <c r="I208" s="28">
        <v>2900</v>
      </c>
      <c r="J208" s="38" t="s">
        <v>566</v>
      </c>
      <c r="K208" s="39">
        <v>198</v>
      </c>
      <c r="L208" s="42">
        <f>0.46*0.39*1.27</f>
        <v>0.22783800000000001</v>
      </c>
      <c r="M208" s="246">
        <v>2986.7068799999997</v>
      </c>
      <c r="N208" s="247">
        <v>3614.34348</v>
      </c>
    </row>
    <row r="209" spans="1:14" ht="15.75" thickBot="1">
      <c r="A209" s="2"/>
      <c r="B209" s="13" t="s">
        <v>1231</v>
      </c>
      <c r="C209" s="14">
        <v>15</v>
      </c>
      <c r="D209" s="15">
        <v>20</v>
      </c>
      <c r="E209" s="27">
        <v>65</v>
      </c>
      <c r="F209" s="28">
        <v>46</v>
      </c>
      <c r="G209" s="186">
        <v>66</v>
      </c>
      <c r="H209" s="27" t="s">
        <v>396</v>
      </c>
      <c r="I209" s="28">
        <v>2900</v>
      </c>
      <c r="J209" s="38" t="s">
        <v>566</v>
      </c>
      <c r="K209" s="39">
        <v>213</v>
      </c>
      <c r="L209" s="42">
        <f>0.46*0.39*1.36</f>
        <v>0.24398400000000003</v>
      </c>
      <c r="M209" s="246">
        <v>3500.4931200000001</v>
      </c>
      <c r="N209" s="247">
        <v>4234.1954400000004</v>
      </c>
    </row>
    <row r="210" spans="1:14" ht="15.75" thickBot="1">
      <c r="A210" s="2"/>
      <c r="B210" s="13" t="s">
        <v>1232</v>
      </c>
      <c r="C210" s="14">
        <v>15</v>
      </c>
      <c r="D210" s="15">
        <v>20</v>
      </c>
      <c r="E210" s="27">
        <v>65</v>
      </c>
      <c r="F210" s="28">
        <v>53</v>
      </c>
      <c r="G210" s="186">
        <v>73</v>
      </c>
      <c r="H210" s="27" t="s">
        <v>396</v>
      </c>
      <c r="I210" s="28">
        <v>2900</v>
      </c>
      <c r="J210" s="38" t="s">
        <v>566</v>
      </c>
      <c r="K210" s="39">
        <v>214</v>
      </c>
      <c r="L210" s="42">
        <f>0.46*0.39*1.36</f>
        <v>0.24398400000000003</v>
      </c>
      <c r="M210" s="246">
        <v>3500.4931200000001</v>
      </c>
      <c r="N210" s="247">
        <v>4234.1954400000004</v>
      </c>
    </row>
    <row r="211" spans="1:14" ht="15.75" thickBot="1">
      <c r="A211" s="2"/>
      <c r="B211" s="13" t="s">
        <v>1233</v>
      </c>
      <c r="C211" s="14">
        <v>18.5</v>
      </c>
      <c r="D211" s="15">
        <v>25</v>
      </c>
      <c r="E211" s="27">
        <v>65</v>
      </c>
      <c r="F211" s="28">
        <v>60</v>
      </c>
      <c r="G211" s="186">
        <v>80</v>
      </c>
      <c r="H211" s="27" t="s">
        <v>396</v>
      </c>
      <c r="I211" s="28">
        <v>2900</v>
      </c>
      <c r="J211" s="38" t="s">
        <v>566</v>
      </c>
      <c r="K211" s="39">
        <v>239</v>
      </c>
      <c r="L211" s="42">
        <f>0.46*0.39*1.41</f>
        <v>0.25295400000000001</v>
      </c>
      <c r="M211" s="246">
        <v>3666.2410799999998</v>
      </c>
      <c r="N211" s="247">
        <v>4400.5921200000003</v>
      </c>
    </row>
    <row r="212" spans="1:14" ht="15.75" thickBot="1">
      <c r="A212" s="2"/>
      <c r="B212" s="13" t="s">
        <v>1234</v>
      </c>
      <c r="C212" s="14">
        <v>18.5</v>
      </c>
      <c r="D212" s="15">
        <v>25</v>
      </c>
      <c r="E212" s="27">
        <v>65</v>
      </c>
      <c r="F212" s="28">
        <v>66</v>
      </c>
      <c r="G212" s="186">
        <v>92</v>
      </c>
      <c r="H212" s="27" t="s">
        <v>396</v>
      </c>
      <c r="I212" s="28">
        <v>2900</v>
      </c>
      <c r="J212" s="38" t="s">
        <v>566</v>
      </c>
      <c r="K212" s="39">
        <v>244</v>
      </c>
      <c r="L212" s="42">
        <f>0.46*0.39*1.49</f>
        <v>0.26730599999999999</v>
      </c>
      <c r="M212" s="246">
        <v>3891.995640000001</v>
      </c>
      <c r="N212" s="247">
        <v>4626.6710400000002</v>
      </c>
    </row>
    <row r="213" spans="1:14" ht="15.75" thickBot="1">
      <c r="A213" s="2"/>
      <c r="B213" s="13" t="s">
        <v>1235</v>
      </c>
      <c r="C213" s="14">
        <v>22</v>
      </c>
      <c r="D213" s="15">
        <v>30</v>
      </c>
      <c r="E213" s="27">
        <v>65</v>
      </c>
      <c r="F213" s="28">
        <v>73</v>
      </c>
      <c r="G213" s="186">
        <v>100</v>
      </c>
      <c r="H213" s="27" t="s">
        <v>396</v>
      </c>
      <c r="I213" s="28">
        <v>2900</v>
      </c>
      <c r="J213" s="38" t="s">
        <v>566</v>
      </c>
      <c r="K213" s="39">
        <v>278</v>
      </c>
      <c r="L213" s="42">
        <f>0.49*0.39*1.51</f>
        <v>0.28856100000000001</v>
      </c>
      <c r="M213" s="246">
        <v>4431.0819600000004</v>
      </c>
      <c r="N213" s="247">
        <v>5166.0817200000001</v>
      </c>
    </row>
    <row r="214" spans="1:14" ht="15.75" thickBot="1">
      <c r="A214" s="2"/>
      <c r="B214" s="13" t="s">
        <v>1236</v>
      </c>
      <c r="C214" s="14">
        <v>22</v>
      </c>
      <c r="D214" s="15">
        <v>30</v>
      </c>
      <c r="E214" s="27">
        <v>65</v>
      </c>
      <c r="F214" s="28">
        <v>80</v>
      </c>
      <c r="G214" s="186">
        <v>107</v>
      </c>
      <c r="H214" s="27" t="s">
        <v>396</v>
      </c>
      <c r="I214" s="28">
        <v>2900</v>
      </c>
      <c r="J214" s="38" t="s">
        <v>566</v>
      </c>
      <c r="K214" s="39">
        <v>278</v>
      </c>
      <c r="L214" s="42">
        <f>0.49*0.39*1.51</f>
        <v>0.28856100000000001</v>
      </c>
      <c r="M214" s="246">
        <v>4431.0819600000004</v>
      </c>
      <c r="N214" s="247">
        <v>5166.0817200000001</v>
      </c>
    </row>
    <row r="215" spans="1:14" ht="15.75" thickBot="1">
      <c r="A215" s="2"/>
      <c r="B215" s="13" t="s">
        <v>1237</v>
      </c>
      <c r="C215" s="14">
        <v>30</v>
      </c>
      <c r="D215" s="15">
        <v>40</v>
      </c>
      <c r="E215" s="27">
        <v>65</v>
      </c>
      <c r="F215" s="28">
        <v>88</v>
      </c>
      <c r="G215" s="186">
        <v>121</v>
      </c>
      <c r="H215" s="27" t="s">
        <v>396</v>
      </c>
      <c r="I215" s="28">
        <v>2900</v>
      </c>
      <c r="J215" s="38" t="s">
        <v>566</v>
      </c>
      <c r="K215" s="39">
        <v>342</v>
      </c>
      <c r="L215" s="42">
        <f>0.51*0.39*1.67</f>
        <v>0.33216300000000004</v>
      </c>
      <c r="M215" s="246">
        <v>5371.0772400000005</v>
      </c>
      <c r="N215" s="247">
        <v>6106.0770000000002</v>
      </c>
    </row>
    <row r="216" spans="1:14" ht="15.75" thickBot="1">
      <c r="A216" s="2"/>
      <c r="B216" s="13" t="s">
        <v>1238</v>
      </c>
      <c r="C216" s="14">
        <v>30</v>
      </c>
      <c r="D216" s="15">
        <v>40</v>
      </c>
      <c r="E216" s="27">
        <v>65</v>
      </c>
      <c r="F216" s="28">
        <v>95</v>
      </c>
      <c r="G216" s="186">
        <v>128</v>
      </c>
      <c r="H216" s="27" t="s">
        <v>396</v>
      </c>
      <c r="I216" s="28">
        <v>2900</v>
      </c>
      <c r="J216" s="38" t="s">
        <v>566</v>
      </c>
      <c r="K216" s="39">
        <v>342</v>
      </c>
      <c r="L216" s="42">
        <f>0.51*0.39*1.67</f>
        <v>0.33216300000000004</v>
      </c>
      <c r="M216" s="246">
        <v>5371.0772400000005</v>
      </c>
      <c r="N216" s="247">
        <v>6106.0770000000002</v>
      </c>
    </row>
    <row r="217" spans="1:14" ht="15.75" thickBot="1">
      <c r="A217" s="2"/>
      <c r="B217" s="13" t="s">
        <v>1239</v>
      </c>
      <c r="C217" s="14">
        <v>30</v>
      </c>
      <c r="D217" s="15">
        <v>40</v>
      </c>
      <c r="E217" s="27">
        <v>65</v>
      </c>
      <c r="F217" s="28">
        <v>102</v>
      </c>
      <c r="G217" s="186">
        <v>136</v>
      </c>
      <c r="H217" s="27" t="s">
        <v>396</v>
      </c>
      <c r="I217" s="28">
        <v>2900</v>
      </c>
      <c r="J217" s="38" t="s">
        <v>566</v>
      </c>
      <c r="K217" s="39">
        <v>343</v>
      </c>
      <c r="L217" s="42">
        <f>0.51*0.39*1.67</f>
        <v>0.33216300000000004</v>
      </c>
      <c r="M217" s="246">
        <v>5371.0772400000005</v>
      </c>
      <c r="N217" s="247">
        <v>6106.0770000000002</v>
      </c>
    </row>
    <row r="218" spans="1:14" ht="15.75" thickBot="1">
      <c r="A218" s="2"/>
      <c r="B218" s="13" t="s">
        <v>1240</v>
      </c>
      <c r="C218" s="14">
        <v>30</v>
      </c>
      <c r="D218" s="15">
        <v>40</v>
      </c>
      <c r="E218" s="27">
        <v>65</v>
      </c>
      <c r="F218" s="28">
        <v>110</v>
      </c>
      <c r="G218" s="186">
        <v>150</v>
      </c>
      <c r="H218" s="27" t="s">
        <v>396</v>
      </c>
      <c r="I218" s="28">
        <v>2900</v>
      </c>
      <c r="J218" s="38" t="s">
        <v>566</v>
      </c>
      <c r="K218" s="39">
        <v>349</v>
      </c>
      <c r="L218" s="42">
        <f>0.51*0.39*1.75</f>
        <v>0.34807500000000002</v>
      </c>
      <c r="M218" s="246">
        <v>5525.7969600000006</v>
      </c>
      <c r="N218" s="247">
        <v>6260.148000000001</v>
      </c>
    </row>
    <row r="219" spans="1:14" ht="15.75" thickBot="1">
      <c r="A219" s="2"/>
      <c r="B219" s="13" t="s">
        <v>1241</v>
      </c>
      <c r="C219" s="14">
        <v>37</v>
      </c>
      <c r="D219" s="15">
        <v>50</v>
      </c>
      <c r="E219" s="27">
        <v>65</v>
      </c>
      <c r="F219" s="28">
        <v>117</v>
      </c>
      <c r="G219" s="186">
        <v>157</v>
      </c>
      <c r="H219" s="27" t="s">
        <v>396</v>
      </c>
      <c r="I219" s="28">
        <v>2900</v>
      </c>
      <c r="J219" s="38" t="s">
        <v>566</v>
      </c>
      <c r="K219" s="39">
        <v>373</v>
      </c>
      <c r="L219" s="42">
        <f>0.51*0.39*1.75</f>
        <v>0.34807500000000002</v>
      </c>
      <c r="M219" s="246">
        <v>5774.2567200000003</v>
      </c>
      <c r="N219" s="247">
        <v>6509.9052000000001</v>
      </c>
    </row>
    <row r="220" spans="1:14" ht="15.75" thickBot="1">
      <c r="A220" s="2"/>
      <c r="B220" s="13" t="s">
        <v>1242</v>
      </c>
      <c r="C220" s="14">
        <v>37</v>
      </c>
      <c r="D220" s="15">
        <v>50</v>
      </c>
      <c r="E220" s="27">
        <v>65</v>
      </c>
      <c r="F220" s="28">
        <v>124</v>
      </c>
      <c r="G220" s="186">
        <v>164</v>
      </c>
      <c r="H220" s="27" t="s">
        <v>396</v>
      </c>
      <c r="I220" s="28">
        <v>2900</v>
      </c>
      <c r="J220" s="38" t="s">
        <v>566</v>
      </c>
      <c r="K220" s="39">
        <v>373</v>
      </c>
      <c r="L220" s="42">
        <f>0.51*0.39*1.75</f>
        <v>0.34807500000000002</v>
      </c>
      <c r="M220" s="246">
        <v>5774.2567200000003</v>
      </c>
      <c r="N220" s="247">
        <v>6509.9052000000001</v>
      </c>
    </row>
    <row r="221" spans="1:14" ht="15.75" thickBot="1">
      <c r="A221" s="2"/>
      <c r="B221" s="13" t="s">
        <v>1243</v>
      </c>
      <c r="C221" s="14">
        <v>37</v>
      </c>
      <c r="D221" s="15">
        <v>50</v>
      </c>
      <c r="E221" s="27">
        <v>65</v>
      </c>
      <c r="F221" s="28">
        <v>132</v>
      </c>
      <c r="G221" s="186">
        <v>179</v>
      </c>
      <c r="H221" s="27" t="s">
        <v>396</v>
      </c>
      <c r="I221" s="28">
        <v>2900</v>
      </c>
      <c r="J221" s="38" t="s">
        <v>566</v>
      </c>
      <c r="K221" s="39">
        <v>379</v>
      </c>
      <c r="L221" s="42">
        <f>0.51*0.39*1.84</f>
        <v>0.36597600000000008</v>
      </c>
      <c r="M221" s="246">
        <v>5968.2240000000011</v>
      </c>
      <c r="N221" s="247">
        <v>6702.8994000000002</v>
      </c>
    </row>
    <row r="222" spans="1:14" ht="15.75" thickBot="1">
      <c r="A222" s="2"/>
      <c r="B222" s="13" t="s">
        <v>1244</v>
      </c>
      <c r="C222" s="14">
        <v>37</v>
      </c>
      <c r="D222" s="15">
        <v>50</v>
      </c>
      <c r="E222" s="27">
        <v>65</v>
      </c>
      <c r="F222" s="28">
        <v>139</v>
      </c>
      <c r="G222" s="186">
        <v>186</v>
      </c>
      <c r="H222" s="27" t="s">
        <v>396</v>
      </c>
      <c r="I222" s="28">
        <v>2900</v>
      </c>
      <c r="J222" s="38" t="s">
        <v>566</v>
      </c>
      <c r="K222" s="39">
        <v>379</v>
      </c>
      <c r="L222" s="42">
        <f>0.51*0.39*1.84</f>
        <v>0.36597600000000008</v>
      </c>
      <c r="M222" s="246">
        <v>5968.2240000000011</v>
      </c>
      <c r="N222" s="247">
        <v>6702.8994000000002</v>
      </c>
    </row>
    <row r="223" spans="1:14" ht="15.75" thickBot="1">
      <c r="A223" s="2"/>
      <c r="B223" s="13" t="s">
        <v>1245</v>
      </c>
      <c r="C223" s="14">
        <v>45</v>
      </c>
      <c r="D223" s="15">
        <v>60</v>
      </c>
      <c r="E223" s="27">
        <v>65</v>
      </c>
      <c r="F223" s="28">
        <v>146</v>
      </c>
      <c r="G223" s="186">
        <v>193</v>
      </c>
      <c r="H223" s="27" t="s">
        <v>396</v>
      </c>
      <c r="I223" s="28">
        <v>2900</v>
      </c>
      <c r="J223" s="38" t="s">
        <v>566</v>
      </c>
      <c r="K223" s="39">
        <v>448</v>
      </c>
      <c r="L223" s="42">
        <f>0.54*0.39*1.87</f>
        <v>0.39382200000000006</v>
      </c>
      <c r="M223" s="246">
        <v>6725.28024</v>
      </c>
      <c r="N223" s="247">
        <v>7460.28</v>
      </c>
    </row>
    <row r="224" spans="1:14" ht="15.75" thickBot="1">
      <c r="A224" s="2"/>
      <c r="B224" s="13" t="s">
        <v>1246</v>
      </c>
      <c r="C224" s="14">
        <v>45</v>
      </c>
      <c r="D224" s="15">
        <v>60</v>
      </c>
      <c r="E224" s="27">
        <v>65</v>
      </c>
      <c r="F224" s="28">
        <v>154</v>
      </c>
      <c r="G224" s="186">
        <v>207</v>
      </c>
      <c r="H224" s="27" t="s">
        <v>396</v>
      </c>
      <c r="I224" s="28">
        <v>2900</v>
      </c>
      <c r="J224" s="38" t="s">
        <v>566</v>
      </c>
      <c r="K224" s="39">
        <v>453</v>
      </c>
      <c r="L224" s="42">
        <f>0.54*0.39*1.95</f>
        <v>0.41067000000000004</v>
      </c>
      <c r="M224" s="246">
        <v>6860.5383600000005</v>
      </c>
      <c r="N224" s="247">
        <v>7594.8894</v>
      </c>
    </row>
    <row r="225" spans="1:14" ht="15.75" thickBot="1">
      <c r="A225" s="2"/>
      <c r="B225" s="13" t="s">
        <v>1247</v>
      </c>
      <c r="C225" s="14">
        <v>45</v>
      </c>
      <c r="D225" s="15">
        <v>60</v>
      </c>
      <c r="E225" s="27">
        <v>65</v>
      </c>
      <c r="F225" s="28">
        <v>161</v>
      </c>
      <c r="G225" s="186">
        <v>215</v>
      </c>
      <c r="H225" s="27" t="s">
        <v>396</v>
      </c>
      <c r="I225" s="28">
        <v>2900</v>
      </c>
      <c r="J225" s="38" t="s">
        <v>566</v>
      </c>
      <c r="K225" s="39">
        <v>453</v>
      </c>
      <c r="L225" s="42">
        <f>0.54*0.39*1.95</f>
        <v>0.41067000000000004</v>
      </c>
      <c r="M225" s="246">
        <v>6860.5383600000005</v>
      </c>
      <c r="N225" s="247">
        <v>7594.8894</v>
      </c>
    </row>
    <row r="226" spans="1:14" ht="15.75" thickBot="1">
      <c r="A226" s="2"/>
      <c r="B226" s="13" t="s">
        <v>1248</v>
      </c>
      <c r="C226" s="14">
        <v>5.5</v>
      </c>
      <c r="D226" s="15">
        <v>7.5</v>
      </c>
      <c r="E226" s="27">
        <v>85</v>
      </c>
      <c r="F226" s="28">
        <v>14</v>
      </c>
      <c r="G226" s="186">
        <v>22</v>
      </c>
      <c r="H226" s="27" t="s">
        <v>396</v>
      </c>
      <c r="I226" s="28">
        <v>2900</v>
      </c>
      <c r="J226" s="38" t="s">
        <v>566</v>
      </c>
      <c r="K226" s="39">
        <v>117</v>
      </c>
      <c r="L226" s="42">
        <f>0.42*0.41*0.98</f>
        <v>0.16875599999999999</v>
      </c>
      <c r="M226" s="246">
        <v>2296.7931600000002</v>
      </c>
      <c r="N226" s="247">
        <v>2769.7100399999999</v>
      </c>
    </row>
    <row r="227" spans="1:14" ht="15.75" thickBot="1">
      <c r="A227" s="2"/>
      <c r="B227" s="13" t="s">
        <v>1249</v>
      </c>
      <c r="C227" s="14">
        <v>7.5</v>
      </c>
      <c r="D227" s="15">
        <v>10</v>
      </c>
      <c r="E227" s="27">
        <v>85</v>
      </c>
      <c r="F227" s="28">
        <v>20</v>
      </c>
      <c r="G227" s="186">
        <v>25</v>
      </c>
      <c r="H227" s="27" t="s">
        <v>396</v>
      </c>
      <c r="I227" s="28">
        <v>2900</v>
      </c>
      <c r="J227" s="38" t="s">
        <v>566</v>
      </c>
      <c r="K227" s="39">
        <v>122</v>
      </c>
      <c r="L227" s="42">
        <f>0.42*0.41*0.98</f>
        <v>0.16875599999999999</v>
      </c>
      <c r="M227" s="246">
        <v>2358.4215600000002</v>
      </c>
      <c r="N227" s="247">
        <v>2837.1769200000003</v>
      </c>
    </row>
    <row r="228" spans="1:14" ht="15.75" thickBot="1">
      <c r="A228" s="2"/>
      <c r="B228" s="13" t="s">
        <v>1250</v>
      </c>
      <c r="C228" s="14">
        <v>11</v>
      </c>
      <c r="D228" s="15">
        <v>15</v>
      </c>
      <c r="E228" s="27">
        <v>85</v>
      </c>
      <c r="F228" s="28">
        <v>30</v>
      </c>
      <c r="G228" s="186">
        <v>41</v>
      </c>
      <c r="H228" s="27" t="s">
        <v>396</v>
      </c>
      <c r="I228" s="28">
        <v>2900</v>
      </c>
      <c r="J228" s="38" t="s">
        <v>566</v>
      </c>
      <c r="K228" s="39">
        <v>198</v>
      </c>
      <c r="L228" s="42">
        <f>0.47*0.41*1.29</f>
        <v>0.24858299999999997</v>
      </c>
      <c r="M228" s="246">
        <v>3546.5522400000009</v>
      </c>
      <c r="N228" s="247">
        <v>4048.6615200000006</v>
      </c>
    </row>
    <row r="229" spans="1:14" ht="15.75" thickBot="1">
      <c r="A229" s="2"/>
      <c r="B229" s="13" t="s">
        <v>1251</v>
      </c>
      <c r="C229" s="14">
        <v>15</v>
      </c>
      <c r="D229" s="15">
        <v>20</v>
      </c>
      <c r="E229" s="27">
        <v>85</v>
      </c>
      <c r="F229" s="28">
        <v>41</v>
      </c>
      <c r="G229" s="186">
        <v>53</v>
      </c>
      <c r="H229" s="27" t="s">
        <v>396</v>
      </c>
      <c r="I229" s="28">
        <v>2900</v>
      </c>
      <c r="J229" s="38" t="s">
        <v>566</v>
      </c>
      <c r="K229" s="39">
        <v>209</v>
      </c>
      <c r="L229" s="42">
        <f>0.47*0.41*1.29</f>
        <v>0.24858299999999997</v>
      </c>
      <c r="M229" s="246">
        <v>3610.7755200000001</v>
      </c>
      <c r="N229" s="247">
        <v>4116.1284000000005</v>
      </c>
    </row>
    <row r="230" spans="1:14" ht="15.75" thickBot="1">
      <c r="A230" s="2"/>
      <c r="B230" s="13" t="s">
        <v>1252</v>
      </c>
      <c r="C230" s="14">
        <v>18.5</v>
      </c>
      <c r="D230" s="15">
        <v>25</v>
      </c>
      <c r="E230" s="27">
        <v>85</v>
      </c>
      <c r="F230" s="28">
        <v>52</v>
      </c>
      <c r="G230" s="186">
        <v>68</v>
      </c>
      <c r="H230" s="27" t="s">
        <v>396</v>
      </c>
      <c r="I230" s="28">
        <v>2900</v>
      </c>
      <c r="J230" s="38" t="s">
        <v>566</v>
      </c>
      <c r="K230" s="39">
        <v>234</v>
      </c>
      <c r="L230" s="42">
        <f>0.47*0.41*1.44</f>
        <v>0.27748799999999996</v>
      </c>
      <c r="M230" s="246">
        <v>3949.4073599999997</v>
      </c>
      <c r="N230" s="247">
        <v>4455.4089599999998</v>
      </c>
    </row>
    <row r="231" spans="1:14" ht="15.75" thickBot="1">
      <c r="A231" s="2"/>
      <c r="B231" s="13" t="s">
        <v>1253</v>
      </c>
      <c r="C231" s="14">
        <v>22</v>
      </c>
      <c r="D231" s="15">
        <v>30</v>
      </c>
      <c r="E231" s="27">
        <v>85</v>
      </c>
      <c r="F231" s="28">
        <v>64</v>
      </c>
      <c r="G231" s="186">
        <v>81</v>
      </c>
      <c r="H231" s="27" t="s">
        <v>396</v>
      </c>
      <c r="I231" s="28">
        <v>2900</v>
      </c>
      <c r="J231" s="38" t="s">
        <v>566</v>
      </c>
      <c r="K231" s="39">
        <v>273</v>
      </c>
      <c r="L231" s="42">
        <f>0.5*0.41*1.46</f>
        <v>0.29929999999999995</v>
      </c>
      <c r="M231" s="246">
        <v>4492.0616400000008</v>
      </c>
      <c r="N231" s="247">
        <v>4997.0901600000007</v>
      </c>
    </row>
    <row r="232" spans="1:14" ht="15.75" thickBot="1">
      <c r="A232" s="2"/>
      <c r="B232" s="13" t="s">
        <v>1254</v>
      </c>
      <c r="C232" s="14">
        <v>30</v>
      </c>
      <c r="D232" s="15">
        <v>40</v>
      </c>
      <c r="E232" s="27">
        <v>85</v>
      </c>
      <c r="F232" s="28">
        <v>75</v>
      </c>
      <c r="G232" s="186">
        <v>98</v>
      </c>
      <c r="H232" s="27" t="s">
        <v>396</v>
      </c>
      <c r="I232" s="28">
        <v>2900</v>
      </c>
      <c r="J232" s="38" t="s">
        <v>566</v>
      </c>
      <c r="K232" s="39">
        <v>336</v>
      </c>
      <c r="L232" s="42">
        <f>0.52*0.41*1.63</f>
        <v>0.34751599999999999</v>
      </c>
      <c r="M232" s="246">
        <v>5499.1994400000003</v>
      </c>
      <c r="N232" s="247">
        <v>6003.2548800000004</v>
      </c>
    </row>
    <row r="233" spans="1:14" ht="15.75" thickBot="1">
      <c r="A233" s="2"/>
      <c r="B233" s="13" t="s">
        <v>1255</v>
      </c>
      <c r="C233" s="14">
        <v>30</v>
      </c>
      <c r="D233" s="15">
        <v>40</v>
      </c>
      <c r="E233" s="27">
        <v>85</v>
      </c>
      <c r="F233" s="28">
        <v>86</v>
      </c>
      <c r="G233" s="186">
        <v>110</v>
      </c>
      <c r="H233" s="27" t="s">
        <v>396</v>
      </c>
      <c r="I233" s="28">
        <v>2900</v>
      </c>
      <c r="J233" s="38" t="s">
        <v>566</v>
      </c>
      <c r="K233" s="39">
        <v>336</v>
      </c>
      <c r="L233" s="42">
        <f>0.52*0.41*1.63</f>
        <v>0.34751599999999999</v>
      </c>
      <c r="M233" s="246">
        <v>5499.1994400000003</v>
      </c>
      <c r="N233" s="247">
        <v>6003.2548800000004</v>
      </c>
    </row>
    <row r="234" spans="1:14" ht="15.75" thickBot="1">
      <c r="A234" s="2"/>
      <c r="B234" s="13" t="s">
        <v>1256</v>
      </c>
      <c r="C234" s="14">
        <v>37</v>
      </c>
      <c r="D234" s="15">
        <v>50</v>
      </c>
      <c r="E234" s="27">
        <v>85</v>
      </c>
      <c r="F234" s="28">
        <v>98</v>
      </c>
      <c r="G234" s="186">
        <v>126</v>
      </c>
      <c r="H234" s="27" t="s">
        <v>396</v>
      </c>
      <c r="I234" s="28">
        <v>2900</v>
      </c>
      <c r="J234" s="38" t="s">
        <v>566</v>
      </c>
      <c r="K234" s="39">
        <v>362</v>
      </c>
      <c r="L234" s="42">
        <f>0.52*0.41*1.72</f>
        <v>0.36670399999999997</v>
      </c>
      <c r="M234" s="246">
        <v>5972.7650400000011</v>
      </c>
      <c r="N234" s="247">
        <v>6476.8204800000003</v>
      </c>
    </row>
    <row r="235" spans="1:14" ht="15.75" thickBot="1">
      <c r="A235" s="2"/>
      <c r="B235" s="13" t="s">
        <v>1257</v>
      </c>
      <c r="C235" s="14">
        <v>37</v>
      </c>
      <c r="D235" s="15">
        <v>50</v>
      </c>
      <c r="E235" s="27">
        <v>85</v>
      </c>
      <c r="F235" s="28">
        <v>110</v>
      </c>
      <c r="G235" s="186">
        <v>139</v>
      </c>
      <c r="H235" s="27" t="s">
        <v>396</v>
      </c>
      <c r="I235" s="28">
        <v>2900</v>
      </c>
      <c r="J235" s="38" t="s">
        <v>566</v>
      </c>
      <c r="K235" s="39">
        <v>362</v>
      </c>
      <c r="L235" s="42">
        <f>0.52*0.41*1.72</f>
        <v>0.36670399999999997</v>
      </c>
      <c r="M235" s="246">
        <v>5972.7650400000011</v>
      </c>
      <c r="N235" s="247">
        <v>6476.8204800000003</v>
      </c>
    </row>
    <row r="236" spans="1:14" ht="15.75" thickBot="1">
      <c r="A236" s="2"/>
      <c r="B236" s="13" t="s">
        <v>1258</v>
      </c>
      <c r="C236" s="14">
        <v>45</v>
      </c>
      <c r="D236" s="15">
        <v>60</v>
      </c>
      <c r="E236" s="27">
        <v>85</v>
      </c>
      <c r="F236" s="28">
        <v>122</v>
      </c>
      <c r="G236" s="186">
        <v>155</v>
      </c>
      <c r="H236" s="27" t="s">
        <v>396</v>
      </c>
      <c r="I236" s="28">
        <v>2900</v>
      </c>
      <c r="J236" s="38" t="s">
        <v>566</v>
      </c>
      <c r="K236" s="39">
        <v>436</v>
      </c>
      <c r="L236" s="42">
        <f>0.55*0.41*1.85</f>
        <v>0.41717500000000002</v>
      </c>
      <c r="M236" s="246">
        <v>6958.4950800000015</v>
      </c>
      <c r="N236" s="247">
        <v>7468.7133599999997</v>
      </c>
    </row>
    <row r="237" spans="1:14" ht="15.75" thickBot="1">
      <c r="A237" s="2"/>
      <c r="B237" s="13" t="s">
        <v>1259</v>
      </c>
      <c r="C237" s="14">
        <v>45</v>
      </c>
      <c r="D237" s="15">
        <v>60</v>
      </c>
      <c r="E237" s="27">
        <v>85</v>
      </c>
      <c r="F237" s="28">
        <v>134</v>
      </c>
      <c r="G237" s="186">
        <v>168</v>
      </c>
      <c r="H237" s="27" t="s">
        <v>396</v>
      </c>
      <c r="I237" s="28">
        <v>2900</v>
      </c>
      <c r="J237" s="38" t="s">
        <v>566</v>
      </c>
      <c r="K237" s="39">
        <v>436</v>
      </c>
      <c r="L237" s="42">
        <f>0.55*0.41*1.85</f>
        <v>0.41717500000000002</v>
      </c>
      <c r="M237" s="246">
        <v>6958.4950800000015</v>
      </c>
      <c r="N237" s="247">
        <v>7468.7133599999997</v>
      </c>
    </row>
    <row r="238" spans="1:14" ht="15.75" thickBot="1">
      <c r="A238" s="2"/>
      <c r="B238" s="13" t="s">
        <v>2987</v>
      </c>
      <c r="C238" s="14">
        <v>5.5</v>
      </c>
      <c r="D238" s="15">
        <v>7.5</v>
      </c>
      <c r="E238" s="27">
        <v>95</v>
      </c>
      <c r="F238" s="28">
        <v>16</v>
      </c>
      <c r="G238" s="186">
        <v>25</v>
      </c>
      <c r="H238" s="27" t="s">
        <v>396</v>
      </c>
      <c r="I238" s="28">
        <v>2900</v>
      </c>
      <c r="J238" s="38" t="s">
        <v>566</v>
      </c>
      <c r="K238" s="39">
        <v>169</v>
      </c>
      <c r="L238" s="42">
        <f>0.42*0.54*1.06</f>
        <v>0.24040800000000001</v>
      </c>
      <c r="M238" s="246">
        <v>2989.6261200000004</v>
      </c>
      <c r="N238" s="247">
        <v>3686.0270400000004</v>
      </c>
    </row>
    <row r="239" spans="1:14" ht="15.75" thickBot="1">
      <c r="A239" s="2"/>
      <c r="B239" s="13" t="s">
        <v>2988</v>
      </c>
      <c r="C239" s="14">
        <v>7.5</v>
      </c>
      <c r="D239" s="15">
        <v>10</v>
      </c>
      <c r="E239" s="27">
        <v>95</v>
      </c>
      <c r="F239" s="28">
        <v>22</v>
      </c>
      <c r="G239" s="186">
        <v>32</v>
      </c>
      <c r="H239" s="27" t="s">
        <v>396</v>
      </c>
      <c r="I239" s="28">
        <v>2900</v>
      </c>
      <c r="J239" s="38" t="s">
        <v>566</v>
      </c>
      <c r="K239" s="39">
        <v>181</v>
      </c>
      <c r="L239" s="42">
        <f>0.42*0.54*1.06</f>
        <v>0.24040800000000001</v>
      </c>
      <c r="M239" s="246">
        <v>3077.5276800000001</v>
      </c>
      <c r="N239" s="247">
        <v>3773.27988</v>
      </c>
    </row>
    <row r="240" spans="1:14" ht="15.75" thickBot="1">
      <c r="A240" s="2"/>
      <c r="B240" s="13" t="s">
        <v>2989</v>
      </c>
      <c r="C240" s="14">
        <v>11</v>
      </c>
      <c r="D240" s="15">
        <v>15</v>
      </c>
      <c r="E240" s="27">
        <v>95</v>
      </c>
      <c r="F240" s="28">
        <v>32.5</v>
      </c>
      <c r="G240" s="186">
        <v>49.5</v>
      </c>
      <c r="H240" s="27" t="s">
        <v>396</v>
      </c>
      <c r="I240" s="28">
        <v>2900</v>
      </c>
      <c r="J240" s="38" t="s">
        <v>566</v>
      </c>
      <c r="K240" s="39">
        <v>262</v>
      </c>
      <c r="L240" s="42">
        <f>0.49*0.54*1.31</f>
        <v>0.34662599999999999</v>
      </c>
      <c r="M240" s="246">
        <v>4332.1521599999996</v>
      </c>
      <c r="N240" s="247">
        <v>5069.4224400000012</v>
      </c>
    </row>
    <row r="241" spans="1:14" ht="15.75" thickBot="1">
      <c r="A241" s="2"/>
      <c r="B241" s="13" t="s">
        <v>2990</v>
      </c>
      <c r="C241" s="14">
        <v>15</v>
      </c>
      <c r="D241" s="15">
        <v>20</v>
      </c>
      <c r="E241" s="27">
        <v>95</v>
      </c>
      <c r="F241" s="28">
        <v>45.5</v>
      </c>
      <c r="G241" s="186">
        <v>63.5</v>
      </c>
      <c r="H241" s="27" t="s">
        <v>396</v>
      </c>
      <c r="I241" s="28">
        <v>2900</v>
      </c>
      <c r="J241" s="38" t="s">
        <v>566</v>
      </c>
      <c r="K241" s="39">
        <v>278</v>
      </c>
      <c r="L241" s="42">
        <f>0.49*0.54*1.31</f>
        <v>0.34662599999999999</v>
      </c>
      <c r="M241" s="246">
        <v>4567.6375200000002</v>
      </c>
      <c r="N241" s="247">
        <v>5304.9078000000009</v>
      </c>
    </row>
    <row r="242" spans="1:14" ht="15.75" thickBot="1">
      <c r="A242" s="2"/>
      <c r="B242" s="13" t="s">
        <v>2991</v>
      </c>
      <c r="C242" s="14">
        <v>18.5</v>
      </c>
      <c r="D242" s="15">
        <v>25</v>
      </c>
      <c r="E242" s="27">
        <v>95</v>
      </c>
      <c r="F242" s="28">
        <v>55</v>
      </c>
      <c r="G242" s="186">
        <v>81</v>
      </c>
      <c r="H242" s="27" t="s">
        <v>396</v>
      </c>
      <c r="I242" s="28">
        <v>2900</v>
      </c>
      <c r="J242" s="38" t="s">
        <v>566</v>
      </c>
      <c r="K242" s="39">
        <v>295</v>
      </c>
      <c r="L242" s="42">
        <f>0.49*0.54*1.45</f>
        <v>0.38367000000000001</v>
      </c>
      <c r="M242" s="246">
        <v>5087.2622400000009</v>
      </c>
      <c r="N242" s="247">
        <v>5825.5056000000004</v>
      </c>
    </row>
    <row r="243" spans="1:14" ht="15.75" thickBot="1">
      <c r="A243" s="2"/>
      <c r="B243" s="13" t="s">
        <v>2992</v>
      </c>
      <c r="C243" s="14">
        <v>22</v>
      </c>
      <c r="D243" s="15">
        <v>30</v>
      </c>
      <c r="E243" s="27">
        <v>95</v>
      </c>
      <c r="F243" s="28">
        <v>69</v>
      </c>
      <c r="G243" s="186">
        <v>95</v>
      </c>
      <c r="H243" s="27" t="s">
        <v>396</v>
      </c>
      <c r="I243" s="28">
        <v>2900</v>
      </c>
      <c r="J243" s="38" t="s">
        <v>566</v>
      </c>
      <c r="K243" s="39">
        <v>353</v>
      </c>
      <c r="L243" s="42">
        <f>0.5*0.54*1.49</f>
        <v>0.40230000000000005</v>
      </c>
      <c r="M243" s="246">
        <v>6196.2490799999996</v>
      </c>
      <c r="N243" s="247">
        <v>6927.3565200000003</v>
      </c>
    </row>
    <row r="244" spans="1:14" ht="15.75" thickBot="1">
      <c r="A244" s="2"/>
      <c r="B244" s="13" t="s">
        <v>2993</v>
      </c>
      <c r="C244" s="14">
        <v>30</v>
      </c>
      <c r="D244" s="15">
        <v>40</v>
      </c>
      <c r="E244" s="27">
        <v>95</v>
      </c>
      <c r="F244" s="28">
        <v>93</v>
      </c>
      <c r="G244" s="186">
        <v>127</v>
      </c>
      <c r="H244" s="27" t="s">
        <v>396</v>
      </c>
      <c r="I244" s="28">
        <v>2900</v>
      </c>
      <c r="J244" s="38" t="s">
        <v>566</v>
      </c>
      <c r="K244" s="39">
        <v>433</v>
      </c>
      <c r="L244" s="42">
        <f>0.54*0.54*1.66</f>
        <v>0.48405600000000004</v>
      </c>
      <c r="M244" s="246">
        <v>7773.6117600000007</v>
      </c>
      <c r="N244" s="247">
        <v>8511.5307600000015</v>
      </c>
    </row>
    <row r="245" spans="1:14" ht="15.75" thickBot="1">
      <c r="A245" s="2"/>
      <c r="B245" s="13" t="s">
        <v>2994</v>
      </c>
      <c r="C245" s="14">
        <v>37</v>
      </c>
      <c r="D245" s="15">
        <v>50</v>
      </c>
      <c r="E245" s="27">
        <v>95</v>
      </c>
      <c r="F245" s="28">
        <v>116.5</v>
      </c>
      <c r="G245" s="186">
        <v>159</v>
      </c>
      <c r="H245" s="27" t="s">
        <v>396</v>
      </c>
      <c r="I245" s="28">
        <v>2900</v>
      </c>
      <c r="J245" s="38" t="s">
        <v>566</v>
      </c>
      <c r="K245" s="39">
        <v>462</v>
      </c>
      <c r="L245" s="42">
        <f>0.54*0.54*1.76</f>
        <v>0.51321600000000001</v>
      </c>
      <c r="M245" s="246">
        <v>8128.1372400000009</v>
      </c>
      <c r="N245" s="247">
        <v>8823.8894400000008</v>
      </c>
    </row>
    <row r="246" spans="1:14" ht="15.75" thickBot="1">
      <c r="A246" s="2"/>
      <c r="B246" s="13" t="s">
        <v>2995</v>
      </c>
      <c r="C246" s="14">
        <v>45</v>
      </c>
      <c r="D246" s="15">
        <v>60</v>
      </c>
      <c r="E246" s="27">
        <v>95</v>
      </c>
      <c r="F246" s="28">
        <v>140</v>
      </c>
      <c r="G246" s="186">
        <v>191</v>
      </c>
      <c r="H246" s="27" t="s">
        <v>396</v>
      </c>
      <c r="I246" s="28">
        <v>2900</v>
      </c>
      <c r="J246" s="38" t="s">
        <v>566</v>
      </c>
      <c r="K246" s="39">
        <v>575</v>
      </c>
      <c r="L246" s="42">
        <f>0.56*0.54*1.9</f>
        <v>0.57456000000000007</v>
      </c>
      <c r="M246" s="246">
        <v>9964.3392000000003</v>
      </c>
      <c r="N246" s="247">
        <v>10702.906920000001</v>
      </c>
    </row>
    <row r="247" spans="1:14" ht="15.75" thickBot="1">
      <c r="A247" s="2"/>
      <c r="B247" s="13" t="s">
        <v>2996</v>
      </c>
      <c r="C247" s="14">
        <v>55</v>
      </c>
      <c r="D247" s="15">
        <v>75</v>
      </c>
      <c r="E247" s="27">
        <v>95</v>
      </c>
      <c r="F247" s="28">
        <v>163.5</v>
      </c>
      <c r="G247" s="186">
        <v>223</v>
      </c>
      <c r="H247" s="27" t="s">
        <v>396</v>
      </c>
      <c r="I247" s="28">
        <v>2900</v>
      </c>
      <c r="J247" s="38" t="s">
        <v>566</v>
      </c>
      <c r="K247" s="39">
        <v>657</v>
      </c>
      <c r="L247" s="42">
        <f>0.6*0.54*2.12</f>
        <v>0.68688000000000005</v>
      </c>
      <c r="M247" s="246">
        <v>14134.960080000003</v>
      </c>
      <c r="N247" s="247">
        <v>14977.323000000002</v>
      </c>
    </row>
    <row r="248" spans="1:14" ht="15.75" thickBot="1">
      <c r="A248" s="2"/>
      <c r="B248" s="13" t="s">
        <v>2997</v>
      </c>
      <c r="C248" s="14">
        <v>55</v>
      </c>
      <c r="D248" s="15">
        <v>75</v>
      </c>
      <c r="E248" s="27">
        <v>95</v>
      </c>
      <c r="F248" s="28">
        <v>173.5</v>
      </c>
      <c r="G248" s="186">
        <v>241</v>
      </c>
      <c r="H248" s="27" t="s">
        <v>396</v>
      </c>
      <c r="I248" s="28">
        <v>2900</v>
      </c>
      <c r="J248" s="38" t="s">
        <v>566</v>
      </c>
      <c r="K248" s="39">
        <v>667</v>
      </c>
      <c r="L248" s="42">
        <f>0.6*0.54*2.22</f>
        <v>0.71928000000000014</v>
      </c>
      <c r="M248" s="246">
        <v>14406.449400000001</v>
      </c>
      <c r="N248" s="247">
        <v>15249.785400000001</v>
      </c>
    </row>
    <row r="249" spans="1:14" ht="15.75" thickBot="1">
      <c r="A249" s="2"/>
      <c r="B249" s="13" t="s">
        <v>2998</v>
      </c>
      <c r="C249" s="14">
        <v>11</v>
      </c>
      <c r="D249" s="15">
        <v>15</v>
      </c>
      <c r="E249" s="27">
        <v>125</v>
      </c>
      <c r="F249" s="28">
        <v>25</v>
      </c>
      <c r="G249" s="186">
        <v>35</v>
      </c>
      <c r="H249" s="27" t="s">
        <v>468</v>
      </c>
      <c r="I249" s="28">
        <v>2900</v>
      </c>
      <c r="J249" s="38" t="s">
        <v>566</v>
      </c>
      <c r="K249" s="39">
        <v>322</v>
      </c>
      <c r="L249" s="42">
        <f>0.54*0.61*1.32</f>
        <v>0.43480800000000003</v>
      </c>
      <c r="M249" s="246">
        <v>5467.0878000000002</v>
      </c>
      <c r="N249" s="247">
        <v>6717.8199599999998</v>
      </c>
    </row>
    <row r="250" spans="1:14" ht="15.75" thickBot="1">
      <c r="A250" s="2"/>
      <c r="B250" s="13" t="s">
        <v>2999</v>
      </c>
      <c r="C250" s="14">
        <v>15</v>
      </c>
      <c r="D250" s="15">
        <v>20</v>
      </c>
      <c r="E250" s="27">
        <v>125</v>
      </c>
      <c r="F250" s="28">
        <v>33.5</v>
      </c>
      <c r="G250" s="186">
        <v>52</v>
      </c>
      <c r="H250" s="27" t="s">
        <v>468</v>
      </c>
      <c r="I250" s="28">
        <v>2900</v>
      </c>
      <c r="J250" s="38" t="s">
        <v>566</v>
      </c>
      <c r="K250" s="39">
        <v>352</v>
      </c>
      <c r="L250" s="42">
        <f>0.54*0.61*1.44</f>
        <v>0.47433600000000004</v>
      </c>
      <c r="M250" s="246">
        <v>6080.1282000000001</v>
      </c>
      <c r="N250" s="247">
        <v>7329.8872800000008</v>
      </c>
    </row>
    <row r="251" spans="1:14" ht="15.75" thickBot="1">
      <c r="A251" s="2"/>
      <c r="B251" s="13" t="s">
        <v>3000</v>
      </c>
      <c r="C251" s="14">
        <v>18.5</v>
      </c>
      <c r="D251" s="15">
        <v>25</v>
      </c>
      <c r="E251" s="27">
        <v>125</v>
      </c>
      <c r="F251" s="28">
        <v>42</v>
      </c>
      <c r="G251" s="186">
        <v>60</v>
      </c>
      <c r="H251" s="27" t="s">
        <v>468</v>
      </c>
      <c r="I251" s="28">
        <v>2900</v>
      </c>
      <c r="J251" s="38" t="s">
        <v>566</v>
      </c>
      <c r="K251" s="39">
        <v>364</v>
      </c>
      <c r="L251" s="42">
        <f>0.54*0.61*1.48</f>
        <v>0.48751200000000006</v>
      </c>
      <c r="M251" s="246">
        <v>6321.7764000000006</v>
      </c>
      <c r="N251" s="247">
        <v>7572.1842000000006</v>
      </c>
    </row>
    <row r="252" spans="1:14" ht="15.75" thickBot="1">
      <c r="A252" s="2"/>
      <c r="B252" s="13" t="s">
        <v>3001</v>
      </c>
      <c r="C252" s="14">
        <v>22</v>
      </c>
      <c r="D252" s="15">
        <v>30</v>
      </c>
      <c r="E252" s="27">
        <v>125</v>
      </c>
      <c r="F252" s="28">
        <v>50.5</v>
      </c>
      <c r="G252" s="186">
        <v>69</v>
      </c>
      <c r="H252" s="27" t="s">
        <v>468</v>
      </c>
      <c r="I252" s="28">
        <v>2900</v>
      </c>
      <c r="J252" s="38" t="s">
        <v>566</v>
      </c>
      <c r="K252" s="39">
        <v>422</v>
      </c>
      <c r="L252" s="42">
        <f>0.56*0.61*1.52</f>
        <v>0.51923200000000003</v>
      </c>
      <c r="M252" s="246">
        <v>7586.7804000000006</v>
      </c>
      <c r="N252" s="247">
        <v>8836.86384</v>
      </c>
    </row>
    <row r="253" spans="1:14" ht="15.75" thickBot="1">
      <c r="A253" s="2"/>
      <c r="B253" s="13" t="s">
        <v>3002</v>
      </c>
      <c r="C253" s="14">
        <v>30</v>
      </c>
      <c r="D253" s="15">
        <v>40</v>
      </c>
      <c r="E253" s="27">
        <v>125</v>
      </c>
      <c r="F253" s="28">
        <v>68</v>
      </c>
      <c r="G253" s="186">
        <v>93.5</v>
      </c>
      <c r="H253" s="27" t="s">
        <v>468</v>
      </c>
      <c r="I253" s="28">
        <v>2900</v>
      </c>
      <c r="J253" s="38" t="s">
        <v>566</v>
      </c>
      <c r="K253" s="39">
        <v>504</v>
      </c>
      <c r="L253" s="42">
        <f>0.59*0.61*1.71</f>
        <v>0.615429</v>
      </c>
      <c r="M253" s="246">
        <v>9418.7656800000004</v>
      </c>
      <c r="N253" s="247">
        <v>10669.173480000003</v>
      </c>
    </row>
    <row r="254" spans="1:14" ht="15.75" thickBot="1">
      <c r="A254" s="2"/>
      <c r="B254" s="13" t="s">
        <v>3003</v>
      </c>
      <c r="C254" s="14">
        <v>37</v>
      </c>
      <c r="D254" s="15">
        <v>50</v>
      </c>
      <c r="E254" s="27">
        <v>125</v>
      </c>
      <c r="F254" s="28">
        <v>77.5</v>
      </c>
      <c r="G254" s="186">
        <v>103</v>
      </c>
      <c r="H254" s="27" t="s">
        <v>468</v>
      </c>
      <c r="I254" s="28">
        <v>2900</v>
      </c>
      <c r="J254" s="38" t="s">
        <v>566</v>
      </c>
      <c r="K254" s="39">
        <v>524</v>
      </c>
      <c r="L254" s="42">
        <f>0.59*0.61*1.71</f>
        <v>0.615429</v>
      </c>
      <c r="M254" s="246">
        <v>9553.6994400000021</v>
      </c>
      <c r="N254" s="247">
        <v>10804.107240000001</v>
      </c>
    </row>
    <row r="255" spans="1:14" ht="15.75" thickBot="1">
      <c r="A255" s="2"/>
      <c r="B255" s="13" t="s">
        <v>3004</v>
      </c>
      <c r="C255" s="14">
        <v>37</v>
      </c>
      <c r="D255" s="15">
        <v>50</v>
      </c>
      <c r="E255" s="27">
        <v>125</v>
      </c>
      <c r="F255" s="28">
        <v>85.5</v>
      </c>
      <c r="G255" s="186">
        <v>117.5</v>
      </c>
      <c r="H255" s="27" t="s">
        <v>468</v>
      </c>
      <c r="I255" s="28">
        <v>2900</v>
      </c>
      <c r="J255" s="38" t="s">
        <v>566</v>
      </c>
      <c r="K255" s="39">
        <v>539</v>
      </c>
      <c r="L255" s="42">
        <f>0.59*0.61*1.83</f>
        <v>0.65861700000000001</v>
      </c>
      <c r="M255" s="246">
        <v>9860.5440000000017</v>
      </c>
      <c r="N255" s="247">
        <v>11039.91696</v>
      </c>
    </row>
    <row r="256" spans="1:14" ht="15.75" thickBot="1">
      <c r="A256" s="2"/>
      <c r="B256" s="13" t="s">
        <v>3005</v>
      </c>
      <c r="C256" s="14">
        <v>45</v>
      </c>
      <c r="D256" s="15">
        <v>60</v>
      </c>
      <c r="E256" s="27">
        <v>125</v>
      </c>
      <c r="F256" s="28">
        <v>103.5</v>
      </c>
      <c r="G256" s="186">
        <v>136</v>
      </c>
      <c r="H256" s="27" t="s">
        <v>468</v>
      </c>
      <c r="I256" s="28">
        <v>2900</v>
      </c>
      <c r="J256" s="38" t="s">
        <v>566</v>
      </c>
      <c r="K256" s="39">
        <v>644</v>
      </c>
      <c r="L256" s="42">
        <f>0.61*0.61*1.88</f>
        <v>0.69954799999999995</v>
      </c>
      <c r="M256" s="246">
        <v>11696.745960000002</v>
      </c>
      <c r="N256" s="247">
        <v>12947.153760000001</v>
      </c>
    </row>
    <row r="257" spans="1:14" ht="15.75" thickBot="1">
      <c r="A257" s="2"/>
      <c r="B257" s="13" t="s">
        <v>3006</v>
      </c>
      <c r="C257" s="14">
        <v>55</v>
      </c>
      <c r="D257" s="15">
        <v>75</v>
      </c>
      <c r="E257" s="27">
        <v>125</v>
      </c>
      <c r="F257" s="28">
        <v>129.5</v>
      </c>
      <c r="G257" s="186">
        <v>170</v>
      </c>
      <c r="H257" s="27" t="s">
        <v>468</v>
      </c>
      <c r="I257" s="28">
        <v>2900</v>
      </c>
      <c r="J257" s="38" t="s">
        <v>566</v>
      </c>
      <c r="K257" s="39">
        <v>731</v>
      </c>
      <c r="L257" s="42">
        <f>0.65*0.61*2.12</f>
        <v>0.8405800000000001</v>
      </c>
      <c r="M257" s="246">
        <v>14146.312680000001</v>
      </c>
      <c r="N257" s="247">
        <v>15326.658720000001</v>
      </c>
    </row>
    <row r="258" spans="1:14" ht="15.75" thickBot="1">
      <c r="A258" s="2"/>
      <c r="B258" s="13" t="s">
        <v>3007</v>
      </c>
      <c r="C258" s="14">
        <v>75</v>
      </c>
      <c r="D258" s="15">
        <v>100</v>
      </c>
      <c r="E258" s="27">
        <v>125</v>
      </c>
      <c r="F258" s="28">
        <v>155</v>
      </c>
      <c r="G258" s="186">
        <v>204</v>
      </c>
      <c r="H258" s="27" t="s">
        <v>468</v>
      </c>
      <c r="I258" s="28">
        <v>2900</v>
      </c>
      <c r="J258" s="38" t="s">
        <v>566</v>
      </c>
      <c r="K258" s="39">
        <v>899</v>
      </c>
      <c r="L258" s="42">
        <f>0.68*0.61*2.3</f>
        <v>0.95403999999999989</v>
      </c>
      <c r="M258" s="246">
        <v>16974.083160000002</v>
      </c>
      <c r="N258" s="247">
        <v>18347.099040000001</v>
      </c>
    </row>
    <row r="259" spans="1:14" ht="15.75" thickBot="1">
      <c r="A259" s="2"/>
      <c r="B259" s="13" t="s">
        <v>3008</v>
      </c>
      <c r="C259" s="14">
        <v>75</v>
      </c>
      <c r="D259" s="15">
        <v>100</v>
      </c>
      <c r="E259" s="27">
        <v>125</v>
      </c>
      <c r="F259" s="28">
        <v>181</v>
      </c>
      <c r="G259" s="186">
        <v>238</v>
      </c>
      <c r="H259" s="27" t="s">
        <v>468</v>
      </c>
      <c r="I259" s="28">
        <v>2900</v>
      </c>
      <c r="J259" s="38" t="s">
        <v>566</v>
      </c>
      <c r="K259" s="39">
        <v>916</v>
      </c>
      <c r="L259" s="42">
        <f>0.68*0.61*2.43</f>
        <v>1.0079640000000001</v>
      </c>
      <c r="M259" s="246">
        <v>21715.902000000002</v>
      </c>
      <c r="N259" s="247">
        <v>23216.067000000003</v>
      </c>
    </row>
    <row r="260" spans="1:14" ht="15.75" thickBot="1">
      <c r="A260" s="2"/>
      <c r="B260" s="13" t="s">
        <v>3009</v>
      </c>
      <c r="C260" s="14">
        <v>90</v>
      </c>
      <c r="D260" s="15">
        <v>125</v>
      </c>
      <c r="E260" s="27">
        <v>125</v>
      </c>
      <c r="F260" s="28">
        <v>207</v>
      </c>
      <c r="G260" s="186">
        <v>272</v>
      </c>
      <c r="H260" s="27" t="s">
        <v>468</v>
      </c>
      <c r="I260" s="28">
        <v>2900</v>
      </c>
      <c r="J260" s="38" t="s">
        <v>566</v>
      </c>
      <c r="K260" s="39">
        <v>954</v>
      </c>
      <c r="L260" s="42">
        <f>0.68*0.61*2.6</f>
        <v>1.0784800000000001</v>
      </c>
      <c r="M260" s="246">
        <v>24014.641319999999</v>
      </c>
      <c r="N260" s="247">
        <v>25514.481960000005</v>
      </c>
    </row>
    <row r="261" spans="1:14" ht="15.75" thickBot="1">
      <c r="A261" s="2"/>
      <c r="B261" s="13" t="s">
        <v>3010</v>
      </c>
      <c r="C261" s="14">
        <v>90</v>
      </c>
      <c r="D261" s="15">
        <v>125</v>
      </c>
      <c r="E261" s="27">
        <v>125</v>
      </c>
      <c r="F261" s="28">
        <v>214</v>
      </c>
      <c r="G261" s="186">
        <v>289</v>
      </c>
      <c r="H261" s="27" t="s">
        <v>468</v>
      </c>
      <c r="I261" s="28">
        <v>2900</v>
      </c>
      <c r="J261" s="38" t="s">
        <v>566</v>
      </c>
      <c r="K261" s="39">
        <v>975</v>
      </c>
      <c r="L261" s="42">
        <f>0.68*0.61*2.72</f>
        <v>1.1282560000000001</v>
      </c>
      <c r="M261" s="246">
        <v>24546.916080000003</v>
      </c>
      <c r="N261" s="247">
        <v>26048.378520000002</v>
      </c>
    </row>
    <row r="262" spans="1:14" ht="15.75" thickBot="1">
      <c r="A262" s="2"/>
      <c r="B262" s="13" t="s">
        <v>3011</v>
      </c>
      <c r="C262" s="14">
        <v>110</v>
      </c>
      <c r="D262" s="15">
        <v>150</v>
      </c>
      <c r="E262" s="27">
        <v>125</v>
      </c>
      <c r="F262" s="28">
        <v>233</v>
      </c>
      <c r="G262" s="186">
        <v>306</v>
      </c>
      <c r="H262" s="27" t="s">
        <v>468</v>
      </c>
      <c r="I262" s="28">
        <v>2900</v>
      </c>
      <c r="J262" s="38" t="s">
        <v>566</v>
      </c>
      <c r="K262" s="39">
        <v>1437</v>
      </c>
      <c r="L262" s="42">
        <f>0.81*0.61*2.9</f>
        <v>1.43289</v>
      </c>
      <c r="M262" s="246">
        <v>34361.400959999999</v>
      </c>
      <c r="N262" s="247">
        <v>35862.539039999996</v>
      </c>
    </row>
    <row r="263" spans="1:14" ht="15.75" thickBot="1">
      <c r="A263" s="2"/>
      <c r="B263" s="13" t="s">
        <v>3012</v>
      </c>
      <c r="C263" s="14">
        <v>110</v>
      </c>
      <c r="D263" s="15">
        <v>150</v>
      </c>
      <c r="E263" s="27">
        <v>125</v>
      </c>
      <c r="F263" s="28">
        <v>259</v>
      </c>
      <c r="G263" s="186">
        <v>340</v>
      </c>
      <c r="H263" s="27" t="s">
        <v>468</v>
      </c>
      <c r="I263" s="28">
        <v>2900</v>
      </c>
      <c r="J263" s="38" t="s">
        <v>566</v>
      </c>
      <c r="K263" s="39">
        <v>1454</v>
      </c>
      <c r="L263" s="42">
        <f>0.81*0.61*3.02</f>
        <v>1.4921820000000001</v>
      </c>
      <c r="M263" s="246">
        <v>34884.26928</v>
      </c>
      <c r="N263" s="247">
        <v>36385.731720000011</v>
      </c>
    </row>
    <row r="264" spans="1:14" ht="15.75" thickBot="1">
      <c r="A264" s="2"/>
      <c r="B264" s="13" t="s">
        <v>3013</v>
      </c>
      <c r="C264" s="14">
        <v>11</v>
      </c>
      <c r="D264" s="15">
        <v>15</v>
      </c>
      <c r="E264" s="27">
        <v>155</v>
      </c>
      <c r="F264" s="28">
        <v>19.5</v>
      </c>
      <c r="G264" s="186">
        <v>31.5</v>
      </c>
      <c r="H264" s="27" t="s">
        <v>468</v>
      </c>
      <c r="I264" s="28">
        <v>2900</v>
      </c>
      <c r="J264" s="38" t="s">
        <v>566</v>
      </c>
      <c r="K264" s="39">
        <v>322</v>
      </c>
      <c r="L264" s="42">
        <f>0.54*0.61*1.32</f>
        <v>0.43480800000000003</v>
      </c>
      <c r="M264" s="246">
        <v>5472.2775600000004</v>
      </c>
      <c r="N264" s="247">
        <v>6722.6853600000004</v>
      </c>
    </row>
    <row r="265" spans="1:14" ht="15.75" thickBot="1">
      <c r="A265" s="2"/>
      <c r="B265" s="13" t="s">
        <v>3014</v>
      </c>
      <c r="C265" s="14">
        <v>15</v>
      </c>
      <c r="D265" s="15">
        <v>20</v>
      </c>
      <c r="E265" s="27">
        <v>155</v>
      </c>
      <c r="F265" s="28">
        <v>28.5</v>
      </c>
      <c r="G265" s="186">
        <v>40</v>
      </c>
      <c r="H265" s="27" t="s">
        <v>468</v>
      </c>
      <c r="I265" s="28">
        <v>2900</v>
      </c>
      <c r="J265" s="38" t="s">
        <v>566</v>
      </c>
      <c r="K265" s="39">
        <v>337</v>
      </c>
      <c r="L265" s="42">
        <f>0.54*0.61*1.32</f>
        <v>0.43480800000000003</v>
      </c>
      <c r="M265" s="246">
        <v>5723.98092</v>
      </c>
      <c r="N265" s="247">
        <v>6975.3618000000006</v>
      </c>
    </row>
    <row r="266" spans="1:14" ht="15.75" thickBot="1">
      <c r="A266" s="2"/>
      <c r="B266" s="13" t="s">
        <v>3015</v>
      </c>
      <c r="C266" s="14">
        <v>22</v>
      </c>
      <c r="D266" s="15">
        <v>30</v>
      </c>
      <c r="E266" s="27">
        <v>155</v>
      </c>
      <c r="F266" s="28">
        <v>39.5</v>
      </c>
      <c r="G266" s="186">
        <v>63</v>
      </c>
      <c r="H266" s="27" t="s">
        <v>468</v>
      </c>
      <c r="I266" s="28">
        <v>2900</v>
      </c>
      <c r="J266" s="38" t="s">
        <v>566</v>
      </c>
      <c r="K266" s="39">
        <v>417</v>
      </c>
      <c r="L266" s="42">
        <f>0.56*0.61*1.52</f>
        <v>0.51923200000000003</v>
      </c>
      <c r="M266" s="246">
        <v>7559.8585200000007</v>
      </c>
      <c r="N266" s="247">
        <v>8798.5893599999999</v>
      </c>
    </row>
    <row r="267" spans="1:14" ht="15.75" thickBot="1">
      <c r="A267" s="2"/>
      <c r="B267" s="13" t="s">
        <v>3016</v>
      </c>
      <c r="C267" s="14">
        <v>30</v>
      </c>
      <c r="D267" s="15">
        <v>40</v>
      </c>
      <c r="E267" s="27">
        <v>155</v>
      </c>
      <c r="F267" s="28">
        <v>57</v>
      </c>
      <c r="G267" s="186">
        <v>81</v>
      </c>
      <c r="H267" s="27" t="s">
        <v>468</v>
      </c>
      <c r="I267" s="28">
        <v>2900</v>
      </c>
      <c r="J267" s="38" t="s">
        <v>566</v>
      </c>
      <c r="K267" s="39">
        <v>484</v>
      </c>
      <c r="L267" s="42">
        <f>0.59*0.61*1.59</f>
        <v>0.572241</v>
      </c>
      <c r="M267" s="246">
        <v>9063.591480000001</v>
      </c>
      <c r="N267" s="247">
        <v>10314.647999999999</v>
      </c>
    </row>
    <row r="268" spans="1:14" ht="15.75" thickBot="1">
      <c r="A268" s="2"/>
      <c r="B268" s="13" t="s">
        <v>3017</v>
      </c>
      <c r="C268" s="14">
        <v>37</v>
      </c>
      <c r="D268" s="15">
        <v>50</v>
      </c>
      <c r="E268" s="27">
        <v>155</v>
      </c>
      <c r="F268" s="28">
        <v>68</v>
      </c>
      <c r="G268" s="186">
        <v>103</v>
      </c>
      <c r="H268" s="27" t="s">
        <v>468</v>
      </c>
      <c r="I268" s="28">
        <v>2900</v>
      </c>
      <c r="J268" s="38" t="s">
        <v>566</v>
      </c>
      <c r="K268" s="39">
        <v>524</v>
      </c>
      <c r="L268" s="42">
        <f>0.59*0.61*1.71</f>
        <v>0.615429</v>
      </c>
      <c r="M268" s="246">
        <v>9507.964680000001</v>
      </c>
      <c r="N268" s="247">
        <v>10687.013280000003</v>
      </c>
    </row>
    <row r="269" spans="1:14" ht="15.75" thickBot="1">
      <c r="A269" s="2"/>
      <c r="B269" s="13" t="s">
        <v>3018</v>
      </c>
      <c r="C269" s="14">
        <v>45</v>
      </c>
      <c r="D269" s="15">
        <v>60</v>
      </c>
      <c r="E269" s="27">
        <v>155</v>
      </c>
      <c r="F269" s="28">
        <v>86</v>
      </c>
      <c r="G269" s="186">
        <v>122</v>
      </c>
      <c r="H269" s="27" t="s">
        <v>468</v>
      </c>
      <c r="I269" s="28">
        <v>2900</v>
      </c>
      <c r="J269" s="38" t="s">
        <v>566</v>
      </c>
      <c r="K269" s="39">
        <v>629</v>
      </c>
      <c r="L269" s="42">
        <f>0.61*0.61*1.76</f>
        <v>0.65489600000000003</v>
      </c>
      <c r="M269" s="246">
        <v>11300.7024</v>
      </c>
      <c r="N269" s="247">
        <v>12550.78584</v>
      </c>
    </row>
    <row r="270" spans="1:14" ht="15.75" thickBot="1">
      <c r="A270" s="2"/>
      <c r="B270" s="13" t="s">
        <v>3019</v>
      </c>
      <c r="C270" s="14">
        <v>55</v>
      </c>
      <c r="D270" s="15">
        <v>75</v>
      </c>
      <c r="E270" s="27">
        <v>155</v>
      </c>
      <c r="F270" s="28">
        <v>105.5</v>
      </c>
      <c r="G270" s="186">
        <v>153.5</v>
      </c>
      <c r="H270" s="27" t="s">
        <v>468</v>
      </c>
      <c r="I270" s="28">
        <v>2900</v>
      </c>
      <c r="J270" s="38" t="s">
        <v>566</v>
      </c>
      <c r="K270" s="39">
        <v>710</v>
      </c>
      <c r="L270" s="42">
        <f>0.65*0.61*2</f>
        <v>0.79300000000000004</v>
      </c>
      <c r="M270" s="246">
        <v>13784.975639999999</v>
      </c>
      <c r="N270" s="247">
        <v>14965.9704</v>
      </c>
    </row>
    <row r="271" spans="1:14" ht="15.75" thickBot="1">
      <c r="A271" s="2"/>
      <c r="B271" s="13" t="s">
        <v>3020</v>
      </c>
      <c r="C271" s="14">
        <v>75</v>
      </c>
      <c r="D271" s="15">
        <v>100</v>
      </c>
      <c r="E271" s="27">
        <v>155</v>
      </c>
      <c r="F271" s="28">
        <v>125.5</v>
      </c>
      <c r="G271" s="186">
        <v>185</v>
      </c>
      <c r="H271" s="27" t="s">
        <v>468</v>
      </c>
      <c r="I271" s="28">
        <v>2900</v>
      </c>
      <c r="J271" s="38" t="s">
        <v>566</v>
      </c>
      <c r="K271" s="39">
        <v>879</v>
      </c>
      <c r="L271" s="42">
        <f>0.68*0.61*2.18</f>
        <v>0.90426400000000007</v>
      </c>
      <c r="M271" s="246">
        <v>17320.175280000003</v>
      </c>
      <c r="N271" s="247">
        <v>18500.196960000001</v>
      </c>
    </row>
    <row r="272" spans="1:14" ht="15.75" thickBot="1">
      <c r="A272" s="2"/>
      <c r="B272" s="13" t="s">
        <v>3021</v>
      </c>
      <c r="C272" s="14">
        <v>75</v>
      </c>
      <c r="D272" s="15">
        <v>100</v>
      </c>
      <c r="E272" s="27">
        <v>155</v>
      </c>
      <c r="F272" s="28">
        <v>143.5</v>
      </c>
      <c r="G272" s="186">
        <v>203.5</v>
      </c>
      <c r="H272" s="27" t="s">
        <v>468</v>
      </c>
      <c r="I272" s="28">
        <v>2900</v>
      </c>
      <c r="J272" s="38" t="s">
        <v>566</v>
      </c>
      <c r="K272" s="39">
        <v>884</v>
      </c>
      <c r="L272" s="42">
        <f>0.68*0.61*2.18</f>
        <v>0.90426400000000007</v>
      </c>
      <c r="M272" s="246">
        <v>17320.175280000003</v>
      </c>
      <c r="N272" s="247">
        <v>18500.196960000001</v>
      </c>
    </row>
    <row r="273" spans="1:14" ht="15.75" thickBot="1">
      <c r="A273" s="2"/>
      <c r="B273" s="13" t="s">
        <v>3022</v>
      </c>
      <c r="C273" s="14">
        <v>90</v>
      </c>
      <c r="D273" s="15">
        <v>125</v>
      </c>
      <c r="E273" s="27">
        <v>155</v>
      </c>
      <c r="F273" s="28">
        <v>172</v>
      </c>
      <c r="G273" s="186">
        <v>244</v>
      </c>
      <c r="H273" s="27" t="s">
        <v>468</v>
      </c>
      <c r="I273" s="28">
        <v>2900</v>
      </c>
      <c r="J273" s="38" t="s">
        <v>566</v>
      </c>
      <c r="K273" s="39">
        <v>922</v>
      </c>
      <c r="L273" s="42">
        <f>0.68*0.61*2.35</f>
        <v>0.97478000000000009</v>
      </c>
      <c r="M273" s="246">
        <v>22999.394520000002</v>
      </c>
      <c r="N273" s="247">
        <v>24500.208240000004</v>
      </c>
    </row>
    <row r="274" spans="1:14" ht="15.75" thickBot="1">
      <c r="A274" s="2"/>
      <c r="B274" s="13" t="s">
        <v>3023</v>
      </c>
      <c r="C274" s="14">
        <v>110</v>
      </c>
      <c r="D274" s="15">
        <v>150</v>
      </c>
      <c r="E274" s="27">
        <v>155</v>
      </c>
      <c r="F274" s="28">
        <v>200.5</v>
      </c>
      <c r="G274" s="186">
        <v>284.5</v>
      </c>
      <c r="H274" s="27" t="s">
        <v>468</v>
      </c>
      <c r="I274" s="28">
        <v>2900</v>
      </c>
      <c r="J274" s="38" t="s">
        <v>566</v>
      </c>
      <c r="K274" s="39">
        <v>1402</v>
      </c>
      <c r="L274" s="42">
        <f>0.81*0.61*2.65</f>
        <v>1.3093650000000001</v>
      </c>
      <c r="M274" s="246">
        <v>33383.131200000003</v>
      </c>
      <c r="N274" s="247">
        <v>34884.26928</v>
      </c>
    </row>
    <row r="275" spans="1:14" ht="15.75" thickBot="1">
      <c r="A275" s="2"/>
      <c r="B275" s="13" t="s">
        <v>3024</v>
      </c>
      <c r="C275" s="14">
        <v>110</v>
      </c>
      <c r="D275" s="15">
        <v>150</v>
      </c>
      <c r="E275" s="27">
        <v>155</v>
      </c>
      <c r="F275" s="28">
        <v>211.5</v>
      </c>
      <c r="G275" s="186">
        <v>307</v>
      </c>
      <c r="H275" s="27" t="s">
        <v>468</v>
      </c>
      <c r="I275" s="28">
        <v>2900</v>
      </c>
      <c r="J275" s="38" t="s">
        <v>566</v>
      </c>
      <c r="K275" s="39">
        <v>1419</v>
      </c>
      <c r="L275" s="42">
        <f>0.81*0.61*2.77</f>
        <v>1.368657</v>
      </c>
      <c r="M275" s="246">
        <v>33918.000840000001</v>
      </c>
      <c r="N275" s="247">
        <v>35418.814559999999</v>
      </c>
    </row>
    <row r="276" spans="1:14" ht="15.75" thickBot="1">
      <c r="A276" s="2"/>
      <c r="B276" s="13" t="s">
        <v>3025</v>
      </c>
      <c r="C276" s="14">
        <v>18.5</v>
      </c>
      <c r="D276" s="15">
        <v>25</v>
      </c>
      <c r="E276" s="27">
        <v>185</v>
      </c>
      <c r="F276" s="28">
        <v>29</v>
      </c>
      <c r="G276" s="186">
        <v>42</v>
      </c>
      <c r="H276" s="27" t="s">
        <v>800</v>
      </c>
      <c r="I276" s="28">
        <v>2900</v>
      </c>
      <c r="J276" s="38" t="s">
        <v>566</v>
      </c>
      <c r="K276" s="39">
        <v>462</v>
      </c>
      <c r="L276" s="42">
        <f>0.54*0.72*1.43</f>
        <v>0.55598400000000003</v>
      </c>
      <c r="M276" s="246">
        <v>8217.0118800000018</v>
      </c>
      <c r="N276" s="247">
        <v>10464.826680000002</v>
      </c>
    </row>
    <row r="277" spans="1:14" ht="15.75" thickBot="1">
      <c r="A277" s="2"/>
      <c r="B277" s="13" t="s">
        <v>3026</v>
      </c>
      <c r="C277" s="14">
        <v>22</v>
      </c>
      <c r="D277" s="15">
        <v>30</v>
      </c>
      <c r="E277" s="27">
        <v>185</v>
      </c>
      <c r="F277" s="28">
        <v>35</v>
      </c>
      <c r="G277" s="186">
        <v>46.5</v>
      </c>
      <c r="H277" s="27" t="s">
        <v>800</v>
      </c>
      <c r="I277" s="28">
        <v>2900</v>
      </c>
      <c r="J277" s="38" t="s">
        <v>566</v>
      </c>
      <c r="K277" s="39">
        <v>481</v>
      </c>
      <c r="L277" s="42">
        <f>0.56*0.72*1.46</f>
        <v>0.58867199999999997</v>
      </c>
      <c r="M277" s="246">
        <v>8795.9944800000012</v>
      </c>
      <c r="N277" s="247">
        <v>11045.755440000001</v>
      </c>
    </row>
    <row r="278" spans="1:14" ht="15.75" thickBot="1">
      <c r="A278" s="2"/>
      <c r="B278" s="13" t="s">
        <v>3027</v>
      </c>
      <c r="C278" s="14">
        <v>37</v>
      </c>
      <c r="D278" s="15">
        <v>50</v>
      </c>
      <c r="E278" s="27">
        <v>185</v>
      </c>
      <c r="F278" s="28">
        <v>58.5</v>
      </c>
      <c r="G278" s="186">
        <v>85</v>
      </c>
      <c r="H278" s="27" t="s">
        <v>800</v>
      </c>
      <c r="I278" s="28">
        <v>2900</v>
      </c>
      <c r="J278" s="38" t="s">
        <v>566</v>
      </c>
      <c r="K278" s="39">
        <v>635</v>
      </c>
      <c r="L278" s="42">
        <f>0.59*0.72*1.66</f>
        <v>0.70516799999999991</v>
      </c>
      <c r="M278" s="246">
        <v>11860.547760000001</v>
      </c>
      <c r="N278" s="247">
        <v>14183.289720000001</v>
      </c>
    </row>
    <row r="279" spans="1:14" ht="15.75" thickBot="1">
      <c r="A279" s="2"/>
      <c r="B279" s="13" t="s">
        <v>3028</v>
      </c>
      <c r="C279" s="14">
        <v>45</v>
      </c>
      <c r="D279" s="15">
        <v>60</v>
      </c>
      <c r="E279" s="27">
        <v>185</v>
      </c>
      <c r="F279" s="28">
        <v>70</v>
      </c>
      <c r="G279" s="186">
        <v>92</v>
      </c>
      <c r="H279" s="27" t="s">
        <v>800</v>
      </c>
      <c r="I279" s="28">
        <v>2900</v>
      </c>
      <c r="J279" s="38" t="s">
        <v>566</v>
      </c>
      <c r="K279" s="39">
        <v>740</v>
      </c>
      <c r="L279" s="42">
        <f>0.61*0.72*1.71</f>
        <v>0.75103199999999992</v>
      </c>
      <c r="M279" s="246">
        <v>13199.181480000001</v>
      </c>
      <c r="N279" s="247">
        <v>15417.803880000001</v>
      </c>
    </row>
    <row r="280" spans="1:14" ht="15.75" thickBot="1">
      <c r="A280" s="2"/>
      <c r="B280" s="13" t="s">
        <v>3029</v>
      </c>
      <c r="C280" s="14">
        <v>55</v>
      </c>
      <c r="D280" s="15">
        <v>75</v>
      </c>
      <c r="E280" s="27">
        <v>185</v>
      </c>
      <c r="F280" s="28">
        <v>88.5</v>
      </c>
      <c r="G280" s="186">
        <v>126</v>
      </c>
      <c r="H280" s="27" t="s">
        <v>800</v>
      </c>
      <c r="I280" s="28">
        <v>2900</v>
      </c>
      <c r="J280" s="38" t="s">
        <v>566</v>
      </c>
      <c r="K280" s="39">
        <v>880</v>
      </c>
      <c r="L280" s="42">
        <f>0.65*0.72*1.95</f>
        <v>0.91259999999999997</v>
      </c>
      <c r="M280" s="246">
        <v>14574.14352</v>
      </c>
      <c r="N280" s="247">
        <v>16483.002120000001</v>
      </c>
    </row>
    <row r="281" spans="1:14" ht="15.75" thickBot="1">
      <c r="A281" s="2"/>
      <c r="B281" s="13" t="s">
        <v>3030</v>
      </c>
      <c r="C281" s="14">
        <v>75</v>
      </c>
      <c r="D281" s="15">
        <v>100</v>
      </c>
      <c r="E281" s="27">
        <v>185</v>
      </c>
      <c r="F281" s="28">
        <v>105</v>
      </c>
      <c r="G281" s="186">
        <v>138</v>
      </c>
      <c r="H281" s="27" t="s">
        <v>800</v>
      </c>
      <c r="I281" s="28">
        <v>2900</v>
      </c>
      <c r="J281" s="38" t="s">
        <v>566</v>
      </c>
      <c r="K281" s="39">
        <v>1008</v>
      </c>
      <c r="L281" s="42">
        <f>0.68*0.72*2.01</f>
        <v>0.98409599999999997</v>
      </c>
      <c r="M281" s="246">
        <v>17613.396720000001</v>
      </c>
      <c r="N281" s="247">
        <v>19560.5298</v>
      </c>
    </row>
    <row r="282" spans="1:14" ht="15.75" thickBot="1">
      <c r="A282" s="2"/>
      <c r="B282" s="13" t="s">
        <v>3031</v>
      </c>
      <c r="C282" s="14">
        <v>75</v>
      </c>
      <c r="D282" s="15">
        <v>100</v>
      </c>
      <c r="E282" s="27">
        <v>185</v>
      </c>
      <c r="F282" s="28">
        <v>123.5</v>
      </c>
      <c r="G282" s="186">
        <v>172</v>
      </c>
      <c r="H282" s="27" t="s">
        <v>800</v>
      </c>
      <c r="I282" s="28">
        <v>2900</v>
      </c>
      <c r="J282" s="38" t="s">
        <v>566</v>
      </c>
      <c r="K282" s="39">
        <v>1049</v>
      </c>
      <c r="L282" s="42">
        <f>0.75*0.72*2.14</f>
        <v>1.1556000000000002</v>
      </c>
      <c r="M282" s="246">
        <v>18052.580160000005</v>
      </c>
      <c r="N282" s="247">
        <v>20031.176160000003</v>
      </c>
    </row>
    <row r="283" spans="1:14" ht="15.75" thickBot="1">
      <c r="A283" s="2"/>
      <c r="B283" s="13" t="s">
        <v>3032</v>
      </c>
      <c r="C283" s="14">
        <v>90</v>
      </c>
      <c r="D283" s="15">
        <v>125</v>
      </c>
      <c r="E283" s="27">
        <v>185</v>
      </c>
      <c r="F283" s="28">
        <v>140</v>
      </c>
      <c r="G283" s="186">
        <v>184</v>
      </c>
      <c r="H283" s="27" t="s">
        <v>800</v>
      </c>
      <c r="I283" s="28">
        <v>2900</v>
      </c>
      <c r="J283" s="38" t="s">
        <v>566</v>
      </c>
      <c r="K283" s="39">
        <v>1142</v>
      </c>
      <c r="L283" s="42">
        <f>0.75*0.72*2.19</f>
        <v>1.1826000000000001</v>
      </c>
      <c r="M283" s="246">
        <v>19242.332640000001</v>
      </c>
      <c r="N283" s="247">
        <v>21246.553080000002</v>
      </c>
    </row>
    <row r="284" spans="1:14" ht="15.75" thickBot="1">
      <c r="A284" s="2"/>
      <c r="B284" s="13" t="s">
        <v>3033</v>
      </c>
      <c r="C284" s="14">
        <v>110</v>
      </c>
      <c r="D284" s="15">
        <v>150</v>
      </c>
      <c r="E284" s="27">
        <v>185</v>
      </c>
      <c r="F284" s="28">
        <v>158.5</v>
      </c>
      <c r="G284" s="186">
        <v>218</v>
      </c>
      <c r="H284" s="27" t="s">
        <v>800</v>
      </c>
      <c r="I284" s="28">
        <v>2900</v>
      </c>
      <c r="J284" s="38" t="s">
        <v>566</v>
      </c>
      <c r="K284" s="39">
        <v>1398</v>
      </c>
      <c r="L284" s="42">
        <f>0.87*0.72*2.5</f>
        <v>1.5659999999999998</v>
      </c>
      <c r="M284" s="246">
        <v>24529.076280000001</v>
      </c>
      <c r="N284" s="247">
        <v>26294.243400000003</v>
      </c>
    </row>
    <row r="285" spans="1:14" ht="15.75" thickBot="1">
      <c r="A285" s="2"/>
      <c r="B285" s="13" t="s">
        <v>3034</v>
      </c>
      <c r="C285" s="14">
        <v>110</v>
      </c>
      <c r="D285" s="15">
        <v>150</v>
      </c>
      <c r="E285" s="27">
        <v>185</v>
      </c>
      <c r="F285" s="28">
        <v>175</v>
      </c>
      <c r="G285" s="186">
        <v>230</v>
      </c>
      <c r="H285" s="27" t="s">
        <v>800</v>
      </c>
      <c r="I285" s="28">
        <v>2900</v>
      </c>
      <c r="J285" s="38" t="s">
        <v>566</v>
      </c>
      <c r="K285" s="39">
        <v>1398</v>
      </c>
      <c r="L285" s="42">
        <f>0.87*0.72*2.5</f>
        <v>1.5659999999999998</v>
      </c>
      <c r="M285" s="246">
        <v>24529.076280000001</v>
      </c>
      <c r="N285" s="247">
        <v>26294.243400000003</v>
      </c>
    </row>
    <row r="286" spans="1:14" ht="15.75" thickBot="1">
      <c r="A286" s="2"/>
      <c r="B286" s="13" t="s">
        <v>3035</v>
      </c>
      <c r="C286" s="14">
        <v>132</v>
      </c>
      <c r="D286" s="15">
        <v>180</v>
      </c>
      <c r="E286" s="27">
        <v>185</v>
      </c>
      <c r="F286" s="28">
        <v>193.5</v>
      </c>
      <c r="G286" s="186">
        <v>264</v>
      </c>
      <c r="H286" s="27" t="s">
        <v>800</v>
      </c>
      <c r="I286" s="28">
        <v>2900</v>
      </c>
      <c r="J286" s="38" t="s">
        <v>566</v>
      </c>
      <c r="K286" s="39">
        <v>1594</v>
      </c>
      <c r="L286" s="42">
        <f>0.87*0.72*2.71</f>
        <v>1.6975439999999999</v>
      </c>
      <c r="M286" s="246">
        <v>30246.245640000001</v>
      </c>
      <c r="N286" s="247">
        <v>32230.680120000005</v>
      </c>
    </row>
    <row r="287" spans="1:14" ht="15.75" thickBot="1">
      <c r="A287" s="2"/>
      <c r="B287" s="13" t="s">
        <v>3036</v>
      </c>
      <c r="C287" s="14">
        <v>132</v>
      </c>
      <c r="D287" s="15">
        <v>180</v>
      </c>
      <c r="E287" s="27">
        <v>185</v>
      </c>
      <c r="F287" s="28">
        <v>210</v>
      </c>
      <c r="G287" s="186">
        <v>276</v>
      </c>
      <c r="H287" s="27" t="s">
        <v>800</v>
      </c>
      <c r="I287" s="28">
        <v>2900</v>
      </c>
      <c r="J287" s="38" t="s">
        <v>566</v>
      </c>
      <c r="K287" s="39">
        <v>1594</v>
      </c>
      <c r="L287" s="42">
        <f>0.87*0.72*2.71</f>
        <v>1.6975439999999999</v>
      </c>
      <c r="M287" s="246">
        <v>30246.245640000001</v>
      </c>
      <c r="N287" s="247">
        <v>32230.680120000005</v>
      </c>
    </row>
    <row r="288" spans="1:14" ht="15.75" thickBot="1">
      <c r="A288" s="2"/>
      <c r="B288" s="13" t="s">
        <v>3037</v>
      </c>
      <c r="C288" s="14">
        <v>160</v>
      </c>
      <c r="D288" s="15">
        <v>220</v>
      </c>
      <c r="E288" s="27">
        <v>185</v>
      </c>
      <c r="F288" s="28">
        <v>228.5</v>
      </c>
      <c r="G288" s="186">
        <v>310</v>
      </c>
      <c r="H288" s="27" t="s">
        <v>800</v>
      </c>
      <c r="I288" s="28">
        <v>2900</v>
      </c>
      <c r="J288" s="38" t="s">
        <v>566</v>
      </c>
      <c r="K288" s="39">
        <v>1713</v>
      </c>
      <c r="L288" s="42">
        <f>0.87*0.72*2.84</f>
        <v>1.7789759999999999</v>
      </c>
      <c r="M288" s="246">
        <v>38558.294999999998</v>
      </c>
      <c r="N288" s="247">
        <v>40781.134080000003</v>
      </c>
    </row>
    <row r="289" spans="1:14" ht="15.75" thickBot="1">
      <c r="A289" s="2"/>
      <c r="B289" s="13" t="s">
        <v>3038</v>
      </c>
      <c r="C289" s="14">
        <v>160</v>
      </c>
      <c r="D289" s="15">
        <v>220</v>
      </c>
      <c r="E289" s="27">
        <v>185</v>
      </c>
      <c r="F289" s="28">
        <v>245</v>
      </c>
      <c r="G289" s="186">
        <v>322</v>
      </c>
      <c r="H289" s="27" t="s">
        <v>800</v>
      </c>
      <c r="I289" s="28">
        <v>2900</v>
      </c>
      <c r="J289" s="38" t="s">
        <v>566</v>
      </c>
      <c r="K289" s="39">
        <v>1713</v>
      </c>
      <c r="L289" s="42">
        <f>0.87*0.72*2.84</f>
        <v>1.7789759999999999</v>
      </c>
      <c r="M289" s="246">
        <v>38558.294999999998</v>
      </c>
      <c r="N289" s="247">
        <v>40781.134080000003</v>
      </c>
    </row>
    <row r="290" spans="1:14" ht="15.75" thickBot="1">
      <c r="A290" s="2"/>
      <c r="B290" s="13" t="s">
        <v>3039</v>
      </c>
      <c r="C290" s="14">
        <v>200</v>
      </c>
      <c r="D290" s="15">
        <v>270</v>
      </c>
      <c r="E290" s="27">
        <v>185</v>
      </c>
      <c r="F290" s="28">
        <v>263</v>
      </c>
      <c r="G290" s="186">
        <v>356</v>
      </c>
      <c r="H290" s="27" t="s">
        <v>800</v>
      </c>
      <c r="I290" s="28">
        <v>2900</v>
      </c>
      <c r="J290" s="38" t="s">
        <v>566</v>
      </c>
      <c r="K290" s="39">
        <v>1923</v>
      </c>
      <c r="L290" s="42">
        <f>0.87*0.72*2.97</f>
        <v>1.8604080000000001</v>
      </c>
      <c r="M290" s="246">
        <v>42480.456120000003</v>
      </c>
      <c r="N290" s="247">
        <v>44835.309720000005</v>
      </c>
    </row>
    <row r="291" spans="1:14" ht="15.75" thickBot="1">
      <c r="A291" s="2"/>
      <c r="B291" s="13" t="s">
        <v>3040</v>
      </c>
      <c r="C291" s="14">
        <v>200</v>
      </c>
      <c r="D291" s="15">
        <v>270</v>
      </c>
      <c r="E291" s="27">
        <v>185</v>
      </c>
      <c r="F291" s="28">
        <v>280</v>
      </c>
      <c r="G291" s="186">
        <v>368</v>
      </c>
      <c r="H291" s="27" t="s">
        <v>800</v>
      </c>
      <c r="I291" s="28">
        <v>2900</v>
      </c>
      <c r="J291" s="38" t="s">
        <v>566</v>
      </c>
      <c r="K291" s="39">
        <v>1923</v>
      </c>
      <c r="L291" s="42">
        <f>0.87*0.72*2.97</f>
        <v>1.8604080000000001</v>
      </c>
      <c r="M291" s="246">
        <v>42480.456120000003</v>
      </c>
      <c r="N291" s="247">
        <v>44835.309720000005</v>
      </c>
    </row>
    <row r="292" spans="1:14" ht="15.75" thickBot="1">
      <c r="A292" s="2"/>
      <c r="B292" s="13" t="s">
        <v>3041</v>
      </c>
      <c r="C292" s="14">
        <v>22</v>
      </c>
      <c r="D292" s="15">
        <v>30</v>
      </c>
      <c r="E292" s="27">
        <v>215</v>
      </c>
      <c r="F292" s="28">
        <v>29</v>
      </c>
      <c r="G292" s="186">
        <v>43.2</v>
      </c>
      <c r="H292" s="27" t="s">
        <v>800</v>
      </c>
      <c r="I292" s="28">
        <v>2900</v>
      </c>
      <c r="J292" s="38" t="s">
        <v>566</v>
      </c>
      <c r="K292" s="39">
        <v>493</v>
      </c>
      <c r="L292" s="42">
        <f>0.66*0.72*1.46</f>
        <v>0.69379199999999996</v>
      </c>
      <c r="M292" s="246">
        <v>8060.0216400000008</v>
      </c>
      <c r="N292" s="247">
        <v>10621.816920000001</v>
      </c>
    </row>
    <row r="293" spans="1:14" ht="15.75" thickBot="1">
      <c r="A293" s="2"/>
      <c r="B293" s="13" t="s">
        <v>3042</v>
      </c>
      <c r="C293" s="14">
        <v>37</v>
      </c>
      <c r="D293" s="15">
        <v>50</v>
      </c>
      <c r="E293" s="27">
        <v>215</v>
      </c>
      <c r="F293" s="28">
        <v>41.5</v>
      </c>
      <c r="G293" s="186">
        <v>57</v>
      </c>
      <c r="H293" s="27" t="s">
        <v>800</v>
      </c>
      <c r="I293" s="28">
        <v>2900</v>
      </c>
      <c r="J293" s="38" t="s">
        <v>566</v>
      </c>
      <c r="K293" s="39">
        <v>627</v>
      </c>
      <c r="L293" s="42">
        <f>0.66*0.72*1.53</f>
        <v>0.72705600000000004</v>
      </c>
      <c r="M293" s="246">
        <v>9265.9921200000008</v>
      </c>
      <c r="N293" s="247">
        <v>11724.316559999999</v>
      </c>
    </row>
    <row r="294" spans="1:14" ht="15.75" thickBot="1">
      <c r="A294" s="2"/>
      <c r="B294" s="13" t="s">
        <v>3043</v>
      </c>
      <c r="C294" s="14">
        <v>45</v>
      </c>
      <c r="D294" s="15">
        <v>60</v>
      </c>
      <c r="E294" s="27">
        <v>215</v>
      </c>
      <c r="F294" s="28">
        <v>58.5</v>
      </c>
      <c r="G294" s="186">
        <v>88</v>
      </c>
      <c r="H294" s="27" t="s">
        <v>800</v>
      </c>
      <c r="I294" s="28">
        <v>2900</v>
      </c>
      <c r="J294" s="38" t="s">
        <v>566</v>
      </c>
      <c r="K294" s="39">
        <v>760</v>
      </c>
      <c r="L294" s="42">
        <f>0.68*0.72*1.71</f>
        <v>0.83721600000000007</v>
      </c>
      <c r="M294" s="246">
        <v>12816.11232</v>
      </c>
      <c r="N294" s="247">
        <v>15527.761920000001</v>
      </c>
    </row>
    <row r="295" spans="1:14" ht="15.75" thickBot="1">
      <c r="A295" s="2"/>
      <c r="B295" s="13" t="s">
        <v>3044</v>
      </c>
      <c r="C295" s="14">
        <v>55</v>
      </c>
      <c r="D295" s="15">
        <v>75</v>
      </c>
      <c r="E295" s="27">
        <v>215</v>
      </c>
      <c r="F295" s="28">
        <v>70</v>
      </c>
      <c r="G295" s="186">
        <v>100</v>
      </c>
      <c r="H295" s="27" t="s">
        <v>800</v>
      </c>
      <c r="I295" s="28">
        <v>2900</v>
      </c>
      <c r="J295" s="38" t="s">
        <v>566</v>
      </c>
      <c r="K295" s="39">
        <v>883</v>
      </c>
      <c r="L295" s="42">
        <f>0.72*0.72*1.82</f>
        <v>0.94348799999999999</v>
      </c>
      <c r="M295" s="246">
        <v>15274.436760000002</v>
      </c>
      <c r="N295" s="247">
        <v>17639.99424</v>
      </c>
    </row>
    <row r="296" spans="1:14" ht="15.75" thickBot="1">
      <c r="A296" s="2"/>
      <c r="B296" s="13" t="s">
        <v>3045</v>
      </c>
      <c r="C296" s="14">
        <v>75</v>
      </c>
      <c r="D296" s="15">
        <v>100</v>
      </c>
      <c r="E296" s="27">
        <v>215</v>
      </c>
      <c r="F296" s="28">
        <v>83.5</v>
      </c>
      <c r="G296" s="186">
        <v>114</v>
      </c>
      <c r="H296" s="27" t="s">
        <v>800</v>
      </c>
      <c r="I296" s="28">
        <v>2900</v>
      </c>
      <c r="J296" s="38" t="s">
        <v>566</v>
      </c>
      <c r="K296" s="39">
        <v>1002</v>
      </c>
      <c r="L296" s="42">
        <f>0.75*0.72*1.89</f>
        <v>1.0206</v>
      </c>
      <c r="M296" s="246">
        <v>18135.940680000003</v>
      </c>
      <c r="N296" s="247">
        <v>20387.32344</v>
      </c>
    </row>
    <row r="297" spans="1:14" ht="15.75" thickBot="1">
      <c r="A297" s="2"/>
      <c r="B297" s="13" t="s">
        <v>3046</v>
      </c>
      <c r="C297" s="14">
        <v>75</v>
      </c>
      <c r="D297" s="15">
        <v>100</v>
      </c>
      <c r="E297" s="27">
        <v>215</v>
      </c>
      <c r="F297" s="28">
        <v>99.5</v>
      </c>
      <c r="G297" s="186">
        <v>145</v>
      </c>
      <c r="H297" s="27" t="s">
        <v>800</v>
      </c>
      <c r="I297" s="28">
        <v>2900</v>
      </c>
      <c r="J297" s="38" t="s">
        <v>566</v>
      </c>
      <c r="K297" s="39">
        <v>1020</v>
      </c>
      <c r="L297" s="42">
        <f>0.75*0.72*2.01</f>
        <v>1.0853999999999999</v>
      </c>
      <c r="M297" s="246">
        <v>18646.158960000004</v>
      </c>
      <c r="N297" s="247">
        <v>20901.109680000005</v>
      </c>
    </row>
    <row r="298" spans="1:14" ht="15.75" thickBot="1">
      <c r="A298" s="2"/>
      <c r="B298" s="13" t="s">
        <v>3047</v>
      </c>
      <c r="C298" s="14">
        <v>90</v>
      </c>
      <c r="D298" s="15">
        <v>125</v>
      </c>
      <c r="E298" s="27">
        <v>215</v>
      </c>
      <c r="F298" s="28">
        <v>126</v>
      </c>
      <c r="G298" s="186">
        <v>170</v>
      </c>
      <c r="H298" s="27" t="s">
        <v>800</v>
      </c>
      <c r="I298" s="28">
        <v>2900</v>
      </c>
      <c r="J298" s="38" t="s">
        <v>566</v>
      </c>
      <c r="K298" s="39">
        <v>1123</v>
      </c>
      <c r="L298" s="42">
        <f>0.75*0.72*2.06</f>
        <v>1.1124000000000001</v>
      </c>
      <c r="M298" s="246">
        <v>20458.682639999999</v>
      </c>
      <c r="N298" s="247">
        <v>22963.39056</v>
      </c>
    </row>
    <row r="299" spans="1:14" ht="15.75" thickBot="1">
      <c r="A299" s="2"/>
      <c r="B299" s="13" t="s">
        <v>3048</v>
      </c>
      <c r="C299" s="14">
        <v>110</v>
      </c>
      <c r="D299" s="15">
        <v>150</v>
      </c>
      <c r="E299" s="27">
        <v>215</v>
      </c>
      <c r="F299" s="28">
        <v>143.5</v>
      </c>
      <c r="G299" s="186">
        <v>202</v>
      </c>
      <c r="H299" s="27" t="s">
        <v>800</v>
      </c>
      <c r="I299" s="28">
        <v>2900</v>
      </c>
      <c r="J299" s="38" t="s">
        <v>566</v>
      </c>
      <c r="K299" s="39">
        <v>1378</v>
      </c>
      <c r="L299" s="42">
        <f>0.87*0.72*2.37</f>
        <v>1.4845679999999999</v>
      </c>
      <c r="M299" s="246">
        <v>30520.329840000002</v>
      </c>
      <c r="N299" s="247">
        <v>33074.989200000004</v>
      </c>
    </row>
    <row r="300" spans="1:14" ht="15.75" thickBot="1">
      <c r="A300" s="2"/>
      <c r="B300" s="13" t="s">
        <v>3049</v>
      </c>
      <c r="C300" s="14">
        <v>132</v>
      </c>
      <c r="D300" s="15">
        <v>180</v>
      </c>
      <c r="E300" s="27">
        <v>215</v>
      </c>
      <c r="F300" s="28">
        <v>168.5</v>
      </c>
      <c r="G300" s="186">
        <v>225</v>
      </c>
      <c r="H300" s="27" t="s">
        <v>800</v>
      </c>
      <c r="I300" s="28">
        <v>2900</v>
      </c>
      <c r="J300" s="38" t="s">
        <v>566</v>
      </c>
      <c r="K300" s="39">
        <v>1535</v>
      </c>
      <c r="L300" s="42">
        <f>0.87*0.72*2.46</f>
        <v>1.5409439999999999</v>
      </c>
      <c r="M300" s="246">
        <v>33367.561920000007</v>
      </c>
      <c r="N300" s="247">
        <v>35957.900880000001</v>
      </c>
    </row>
    <row r="301" spans="1:14" ht="15.75" thickBot="1">
      <c r="A301" s="2"/>
      <c r="B301" s="13" t="s">
        <v>3050</v>
      </c>
      <c r="C301" s="14">
        <v>132</v>
      </c>
      <c r="D301" s="15">
        <v>180</v>
      </c>
      <c r="E301" s="27">
        <v>215</v>
      </c>
      <c r="F301" s="28">
        <v>186</v>
      </c>
      <c r="G301" s="186">
        <v>256</v>
      </c>
      <c r="H301" s="27" t="s">
        <v>800</v>
      </c>
      <c r="I301" s="28">
        <v>2900</v>
      </c>
      <c r="J301" s="38" t="s">
        <v>566</v>
      </c>
      <c r="K301" s="39">
        <v>1564</v>
      </c>
      <c r="L301" s="42">
        <f>0.87*0.72*2.58</f>
        <v>1.616112</v>
      </c>
      <c r="M301" s="246">
        <v>33913.459800000004</v>
      </c>
      <c r="N301" s="247">
        <v>36503.798759999998</v>
      </c>
    </row>
    <row r="302" spans="1:14" ht="15.75" thickBot="1">
      <c r="A302" s="2"/>
      <c r="B302" s="13" t="s">
        <v>3051</v>
      </c>
      <c r="C302" s="14">
        <v>160</v>
      </c>
      <c r="D302" s="15">
        <v>220</v>
      </c>
      <c r="E302" s="27">
        <v>215</v>
      </c>
      <c r="F302" s="28">
        <v>211</v>
      </c>
      <c r="G302" s="186">
        <v>280</v>
      </c>
      <c r="H302" s="27" t="s">
        <v>800</v>
      </c>
      <c r="I302" s="28">
        <v>2900</v>
      </c>
      <c r="J302" s="38" t="s">
        <v>566</v>
      </c>
      <c r="K302" s="39">
        <v>1664</v>
      </c>
      <c r="L302" s="42">
        <f>0.87*0.72*2.58</f>
        <v>1.616112</v>
      </c>
      <c r="M302" s="246">
        <v>39490.181280000004</v>
      </c>
      <c r="N302" s="247">
        <v>42340.981320000006</v>
      </c>
    </row>
    <row r="303" spans="1:14" ht="15.75" thickBot="1">
      <c r="A303" s="2"/>
      <c r="B303" s="13" t="s">
        <v>3052</v>
      </c>
      <c r="C303" s="14">
        <v>160</v>
      </c>
      <c r="D303" s="15">
        <v>220</v>
      </c>
      <c r="E303" s="27">
        <v>215</v>
      </c>
      <c r="F303" s="28">
        <v>216.5</v>
      </c>
      <c r="G303" s="186">
        <v>300</v>
      </c>
      <c r="H303" s="27" t="s">
        <v>800</v>
      </c>
      <c r="I303" s="28">
        <v>2900</v>
      </c>
      <c r="J303" s="38" t="s">
        <v>566</v>
      </c>
      <c r="K303" s="39">
        <v>1694</v>
      </c>
      <c r="L303" s="42">
        <f>0.87*0.72*2.71</f>
        <v>1.6975439999999999</v>
      </c>
      <c r="M303" s="246">
        <v>40817.462400000004</v>
      </c>
      <c r="N303" s="247">
        <v>43718.213880000003</v>
      </c>
    </row>
    <row r="304" spans="1:14" ht="15.75" thickBot="1">
      <c r="A304" s="2"/>
      <c r="B304" s="13" t="s">
        <v>3053</v>
      </c>
      <c r="C304" s="14">
        <v>200</v>
      </c>
      <c r="D304" s="15">
        <v>270</v>
      </c>
      <c r="E304" s="27">
        <v>215</v>
      </c>
      <c r="F304" s="28">
        <v>253</v>
      </c>
      <c r="G304" s="186">
        <v>338</v>
      </c>
      <c r="H304" s="27" t="s">
        <v>800</v>
      </c>
      <c r="I304" s="28">
        <v>2900</v>
      </c>
      <c r="J304" s="38" t="s">
        <v>566</v>
      </c>
      <c r="K304" s="39">
        <v>1864</v>
      </c>
      <c r="L304" s="42">
        <f>0.87*0.72*2.71</f>
        <v>1.6975439999999999</v>
      </c>
      <c r="M304" s="246">
        <v>43586.199360000006</v>
      </c>
      <c r="N304" s="247">
        <v>46486.950840000005</v>
      </c>
    </row>
    <row r="305" spans="1:14" ht="15.75" thickBot="1">
      <c r="A305" s="2"/>
      <c r="B305" s="13" t="s">
        <v>3054</v>
      </c>
      <c r="C305" s="14">
        <v>200</v>
      </c>
      <c r="D305" s="15">
        <v>270</v>
      </c>
      <c r="E305" s="27">
        <v>215</v>
      </c>
      <c r="F305" s="28">
        <v>271</v>
      </c>
      <c r="G305" s="186">
        <v>370</v>
      </c>
      <c r="H305" s="27" t="s">
        <v>800</v>
      </c>
      <c r="I305" s="28">
        <v>2900</v>
      </c>
      <c r="J305" s="38" t="s">
        <v>566</v>
      </c>
      <c r="K305" s="39">
        <v>1883</v>
      </c>
      <c r="L305" s="42">
        <f>0.87*0.72*2.84</f>
        <v>1.7789759999999999</v>
      </c>
      <c r="M305" s="246">
        <v>44096.41764</v>
      </c>
      <c r="N305" s="247">
        <v>47000.737080000006</v>
      </c>
    </row>
    <row r="306" spans="1:14" ht="15.75" thickBot="1">
      <c r="A306" s="2"/>
      <c r="B306" s="13" t="s">
        <v>3055</v>
      </c>
      <c r="C306" s="14">
        <v>30</v>
      </c>
      <c r="D306" s="15">
        <v>40</v>
      </c>
      <c r="E306" s="27">
        <v>255</v>
      </c>
      <c r="F306" s="28">
        <v>30.5</v>
      </c>
      <c r="G306" s="186">
        <v>43.5</v>
      </c>
      <c r="H306" s="27" t="s">
        <v>800</v>
      </c>
      <c r="I306" s="28">
        <v>2900</v>
      </c>
      <c r="J306" s="38" t="s">
        <v>566</v>
      </c>
      <c r="K306" s="39">
        <v>617</v>
      </c>
      <c r="L306" s="42">
        <f>0.66*0.72*1.53</f>
        <v>0.72705600000000004</v>
      </c>
      <c r="M306" s="246">
        <v>12751.889040000002</v>
      </c>
      <c r="N306" s="247">
        <v>15759.679320000001</v>
      </c>
    </row>
    <row r="307" spans="1:14" ht="15.75" thickBot="1">
      <c r="A307" s="2"/>
      <c r="B307" s="13" t="s">
        <v>3056</v>
      </c>
      <c r="C307" s="14">
        <v>45</v>
      </c>
      <c r="D307" s="15">
        <v>60</v>
      </c>
      <c r="E307" s="27">
        <v>255</v>
      </c>
      <c r="F307" s="28">
        <v>42</v>
      </c>
      <c r="G307" s="186">
        <v>54.5</v>
      </c>
      <c r="H307" s="27" t="s">
        <v>800</v>
      </c>
      <c r="I307" s="28">
        <v>2900</v>
      </c>
      <c r="J307" s="38" t="s">
        <v>566</v>
      </c>
      <c r="K307" s="39">
        <v>743</v>
      </c>
      <c r="L307" s="42">
        <f>0.68*0.72*1.58</f>
        <v>0.77356800000000014</v>
      </c>
      <c r="M307" s="246">
        <v>15527.761920000001</v>
      </c>
      <c r="N307" s="247">
        <v>18535.552200000002</v>
      </c>
    </row>
    <row r="308" spans="1:14" ht="15.75" thickBot="1">
      <c r="A308" s="2"/>
      <c r="B308" s="13" t="s">
        <v>3057</v>
      </c>
      <c r="C308" s="14">
        <v>55</v>
      </c>
      <c r="D308" s="15">
        <v>75</v>
      </c>
      <c r="E308" s="27">
        <v>255</v>
      </c>
      <c r="F308" s="28">
        <v>62</v>
      </c>
      <c r="G308" s="186">
        <v>88</v>
      </c>
      <c r="H308" s="27" t="s">
        <v>800</v>
      </c>
      <c r="I308" s="28">
        <v>2900</v>
      </c>
      <c r="J308" s="38" t="s">
        <v>566</v>
      </c>
      <c r="K308" s="39">
        <v>873</v>
      </c>
      <c r="L308" s="42">
        <f>0.72*0.72*1.82</f>
        <v>0.94348799999999999</v>
      </c>
      <c r="M308" s="246">
        <v>17811.25632</v>
      </c>
      <c r="N308" s="247">
        <v>20819.046600000001</v>
      </c>
    </row>
    <row r="309" spans="1:14" ht="15.75" thickBot="1">
      <c r="A309" s="2"/>
      <c r="B309" s="13" t="s">
        <v>3058</v>
      </c>
      <c r="C309" s="14">
        <v>75</v>
      </c>
      <c r="D309" s="15">
        <v>100</v>
      </c>
      <c r="E309" s="27">
        <v>255</v>
      </c>
      <c r="F309" s="28">
        <v>84.5</v>
      </c>
      <c r="G309" s="186">
        <v>109</v>
      </c>
      <c r="H309" s="27" t="s">
        <v>800</v>
      </c>
      <c r="I309" s="28">
        <v>2900</v>
      </c>
      <c r="J309" s="38" t="s">
        <v>566</v>
      </c>
      <c r="K309" s="39">
        <v>1012</v>
      </c>
      <c r="L309" s="42">
        <f>0.75*0.72*1.89</f>
        <v>1.0206</v>
      </c>
      <c r="M309" s="246">
        <v>21436.303680000001</v>
      </c>
      <c r="N309" s="247">
        <v>24444.093960000002</v>
      </c>
    </row>
    <row r="310" spans="1:14" ht="15.75" thickBot="1">
      <c r="A310" s="2"/>
      <c r="B310" s="13" t="s">
        <v>3059</v>
      </c>
      <c r="C310" s="14">
        <v>90</v>
      </c>
      <c r="D310" s="15">
        <v>125</v>
      </c>
      <c r="E310" s="27">
        <v>255</v>
      </c>
      <c r="F310" s="28">
        <v>104</v>
      </c>
      <c r="G310" s="186">
        <v>142.5</v>
      </c>
      <c r="H310" s="27" t="s">
        <v>800</v>
      </c>
      <c r="I310" s="28">
        <v>2900</v>
      </c>
      <c r="J310" s="38" t="s">
        <v>566</v>
      </c>
      <c r="K310" s="39">
        <v>1113</v>
      </c>
      <c r="L310" s="42">
        <f>0.75*0.72*2.06</f>
        <v>1.1124000000000001</v>
      </c>
      <c r="M310" s="246">
        <v>23373.705960000003</v>
      </c>
      <c r="N310" s="247">
        <v>26385.064200000004</v>
      </c>
    </row>
    <row r="311" spans="1:14" ht="15.75" thickBot="1">
      <c r="A311" s="2"/>
      <c r="B311" s="13" t="s">
        <v>3060</v>
      </c>
      <c r="C311" s="14">
        <v>110</v>
      </c>
      <c r="D311" s="15">
        <v>150</v>
      </c>
      <c r="E311" s="27">
        <v>255</v>
      </c>
      <c r="F311" s="28">
        <v>127.5</v>
      </c>
      <c r="G311" s="186">
        <v>164</v>
      </c>
      <c r="H311" s="27" t="s">
        <v>800</v>
      </c>
      <c r="I311" s="28">
        <v>2900</v>
      </c>
      <c r="J311" s="38" t="s">
        <v>566</v>
      </c>
      <c r="K311" s="39">
        <v>1348</v>
      </c>
      <c r="L311" s="42">
        <f>0.87*0.72*2.24</f>
        <v>1.4031359999999999</v>
      </c>
      <c r="M311" s="246">
        <v>33303.338640000002</v>
      </c>
      <c r="N311" s="247">
        <v>36311.128920000003</v>
      </c>
    </row>
    <row r="312" spans="1:14" ht="15.75" thickBot="1">
      <c r="A312" s="2"/>
      <c r="B312" s="13" t="s">
        <v>3061</v>
      </c>
      <c r="C312" s="14">
        <v>132</v>
      </c>
      <c r="D312" s="15">
        <v>180</v>
      </c>
      <c r="E312" s="27">
        <v>255</v>
      </c>
      <c r="F312" s="28">
        <v>147</v>
      </c>
      <c r="G312" s="186">
        <v>197</v>
      </c>
      <c r="H312" s="27" t="s">
        <v>800</v>
      </c>
      <c r="I312" s="28">
        <v>2900</v>
      </c>
      <c r="J312" s="38" t="s">
        <v>566</v>
      </c>
      <c r="K312" s="39">
        <v>1515</v>
      </c>
      <c r="L312" s="42">
        <f>0.87*0.72*2.46</f>
        <v>1.5409439999999999</v>
      </c>
      <c r="M312" s="246">
        <v>36425.303640000006</v>
      </c>
      <c r="N312" s="247">
        <v>39436.66188</v>
      </c>
    </row>
    <row r="313" spans="1:14" ht="15.75" thickBot="1">
      <c r="A313" s="2"/>
      <c r="B313" s="13" t="s">
        <v>3062</v>
      </c>
      <c r="C313" s="14">
        <v>160</v>
      </c>
      <c r="D313" s="15">
        <v>220</v>
      </c>
      <c r="E313" s="27">
        <v>255</v>
      </c>
      <c r="F313" s="28">
        <v>170</v>
      </c>
      <c r="G313" s="186">
        <v>218.5</v>
      </c>
      <c r="H313" s="27" t="s">
        <v>800</v>
      </c>
      <c r="I313" s="28">
        <v>2900</v>
      </c>
      <c r="J313" s="38" t="s">
        <v>566</v>
      </c>
      <c r="K313" s="39">
        <v>1655</v>
      </c>
      <c r="L313" s="42">
        <f>0.87*0.72*2.46</f>
        <v>1.5409439999999999</v>
      </c>
      <c r="M313" s="246">
        <v>40856.709960000007</v>
      </c>
      <c r="N313" s="247">
        <v>43868.068200000002</v>
      </c>
    </row>
    <row r="314" spans="1:14" ht="15.75" thickBot="1">
      <c r="A314" s="2"/>
      <c r="B314" s="13" t="s">
        <v>3063</v>
      </c>
      <c r="C314" s="14">
        <v>160</v>
      </c>
      <c r="D314" s="15">
        <v>220</v>
      </c>
      <c r="E314" s="27">
        <v>255</v>
      </c>
      <c r="F314" s="28">
        <v>178</v>
      </c>
      <c r="G314" s="186">
        <v>241</v>
      </c>
      <c r="H314" s="27" t="s">
        <v>800</v>
      </c>
      <c r="I314" s="28">
        <v>2900</v>
      </c>
      <c r="J314" s="38" t="s">
        <v>566</v>
      </c>
      <c r="K314" s="39">
        <v>1694</v>
      </c>
      <c r="L314" s="42">
        <f>0.87*0.72*2.58</f>
        <v>1.616112</v>
      </c>
      <c r="M314" s="246">
        <v>41570.301960000004</v>
      </c>
      <c r="N314" s="247">
        <v>44581.660200000006</v>
      </c>
    </row>
    <row r="315" spans="1:14" ht="15.75" thickBot="1">
      <c r="A315" s="2"/>
      <c r="B315" s="13" t="s">
        <v>3064</v>
      </c>
      <c r="C315" s="14">
        <v>200</v>
      </c>
      <c r="D315" s="15">
        <v>270</v>
      </c>
      <c r="E315" s="27">
        <v>255</v>
      </c>
      <c r="F315" s="28">
        <v>212.5</v>
      </c>
      <c r="G315" s="186">
        <v>273</v>
      </c>
      <c r="H315" s="27" t="s">
        <v>800</v>
      </c>
      <c r="I315" s="28">
        <v>2900</v>
      </c>
      <c r="J315" s="38" t="s">
        <v>566</v>
      </c>
      <c r="K315" s="39">
        <v>1864</v>
      </c>
      <c r="L315" s="42">
        <f>0.87*0.72*2.58</f>
        <v>1.616112</v>
      </c>
      <c r="M315" s="246">
        <v>44413.966079999998</v>
      </c>
      <c r="N315" s="247">
        <v>47425.324320000007</v>
      </c>
    </row>
    <row r="316" spans="1:14" ht="15.75" thickBot="1">
      <c r="A316" s="2"/>
      <c r="B316" s="13" t="s">
        <v>3065</v>
      </c>
      <c r="C316" s="14">
        <v>200</v>
      </c>
      <c r="D316" s="15">
        <v>270</v>
      </c>
      <c r="E316" s="27">
        <v>255</v>
      </c>
      <c r="F316" s="28">
        <v>232</v>
      </c>
      <c r="G316" s="186">
        <v>306</v>
      </c>
      <c r="H316" s="27" t="s">
        <v>800</v>
      </c>
      <c r="I316" s="28">
        <v>2900</v>
      </c>
      <c r="J316" s="38" t="s">
        <v>566</v>
      </c>
      <c r="K316" s="39">
        <v>1904</v>
      </c>
      <c r="L316" s="42">
        <f>0.87*0.72*2.71</f>
        <v>1.6975439999999999</v>
      </c>
      <c r="M316" s="246">
        <v>45116.854200000002</v>
      </c>
      <c r="N316" s="247">
        <v>48124.644479999995</v>
      </c>
    </row>
    <row r="317" spans="1:14" ht="15.75" thickBot="1">
      <c r="A317" s="2"/>
      <c r="B317" s="13" t="s">
        <v>3066</v>
      </c>
      <c r="C317" s="14">
        <v>37</v>
      </c>
      <c r="D317" s="15">
        <v>50</v>
      </c>
      <c r="E317" s="27">
        <v>285</v>
      </c>
      <c r="F317" s="28">
        <v>35</v>
      </c>
      <c r="G317" s="186">
        <v>51</v>
      </c>
      <c r="H317" s="27" t="s">
        <v>800</v>
      </c>
      <c r="I317" s="28">
        <v>2900</v>
      </c>
      <c r="J317" s="38" t="s">
        <v>566</v>
      </c>
      <c r="K317" s="39">
        <v>651</v>
      </c>
      <c r="L317" s="42">
        <f>0.66*0.72*1.63</f>
        <v>0.77457599999999993</v>
      </c>
      <c r="M317" s="246">
        <v>14196.912839999999</v>
      </c>
      <c r="N317" s="247">
        <v>19006.522920000003</v>
      </c>
    </row>
    <row r="318" spans="1:14" ht="15.75" thickBot="1">
      <c r="A318" s="2"/>
      <c r="B318" s="13" t="s">
        <v>3067</v>
      </c>
      <c r="C318" s="14">
        <v>45</v>
      </c>
      <c r="D318" s="15">
        <v>60</v>
      </c>
      <c r="E318" s="27">
        <v>285</v>
      </c>
      <c r="F318" s="28">
        <v>44</v>
      </c>
      <c r="G318" s="186">
        <v>62.5</v>
      </c>
      <c r="H318" s="27" t="s">
        <v>800</v>
      </c>
      <c r="I318" s="28">
        <v>2900</v>
      </c>
      <c r="J318" s="38" t="s">
        <v>566</v>
      </c>
      <c r="K318" s="39">
        <v>776</v>
      </c>
      <c r="L318" s="42">
        <f>0.68*0.72*1.67</f>
        <v>0.81763200000000003</v>
      </c>
      <c r="M318" s="246">
        <v>15142.42224</v>
      </c>
      <c r="N318" s="247">
        <v>19955.600280000002</v>
      </c>
    </row>
    <row r="319" spans="1:14" ht="15.75" thickBot="1">
      <c r="A319" s="2"/>
      <c r="B319" s="13" t="s">
        <v>3068</v>
      </c>
      <c r="C319" s="14">
        <v>75</v>
      </c>
      <c r="D319" s="15">
        <v>100</v>
      </c>
      <c r="E319" s="27">
        <v>285</v>
      </c>
      <c r="F319" s="28">
        <v>65.5</v>
      </c>
      <c r="G319" s="186">
        <v>103</v>
      </c>
      <c r="H319" s="27" t="s">
        <v>800</v>
      </c>
      <c r="I319" s="28">
        <v>2900</v>
      </c>
      <c r="J319" s="38" t="s">
        <v>566</v>
      </c>
      <c r="K319" s="39">
        <v>1014</v>
      </c>
      <c r="L319" s="42">
        <f>0.75*0.72*2</f>
        <v>1.08</v>
      </c>
      <c r="M319" s="246">
        <v>21825.211319999999</v>
      </c>
      <c r="N319" s="247">
        <v>26638.389360000005</v>
      </c>
    </row>
    <row r="320" spans="1:14" ht="15.75" thickBot="1">
      <c r="A320" s="2"/>
      <c r="B320" s="13" t="s">
        <v>3069</v>
      </c>
      <c r="C320" s="14">
        <v>75</v>
      </c>
      <c r="D320" s="15">
        <v>100</v>
      </c>
      <c r="E320" s="27">
        <v>285</v>
      </c>
      <c r="F320" s="28">
        <v>77</v>
      </c>
      <c r="G320" s="186">
        <v>115</v>
      </c>
      <c r="H320" s="27" t="s">
        <v>800</v>
      </c>
      <c r="I320" s="28">
        <v>2900</v>
      </c>
      <c r="J320" s="38" t="s">
        <v>566</v>
      </c>
      <c r="K320" s="39">
        <v>1014</v>
      </c>
      <c r="L320" s="42">
        <f>0.75*0.72*2</f>
        <v>1.08</v>
      </c>
      <c r="M320" s="246">
        <v>21825.211319999999</v>
      </c>
      <c r="N320" s="247">
        <v>26638.389360000005</v>
      </c>
    </row>
    <row r="321" spans="1:14" ht="15.75" thickBot="1">
      <c r="A321" s="2"/>
      <c r="B321" s="13" t="s">
        <v>3070</v>
      </c>
      <c r="C321" s="14">
        <v>90</v>
      </c>
      <c r="D321" s="15">
        <v>125</v>
      </c>
      <c r="E321" s="27">
        <v>285</v>
      </c>
      <c r="F321" s="28">
        <v>88.5</v>
      </c>
      <c r="G321" s="186">
        <v>126</v>
      </c>
      <c r="H321" s="27" t="s">
        <v>800</v>
      </c>
      <c r="I321" s="28">
        <v>2900</v>
      </c>
      <c r="J321" s="38" t="s">
        <v>566</v>
      </c>
      <c r="K321" s="39">
        <v>1037</v>
      </c>
      <c r="L321" s="42">
        <f>0.75*0.72*2.05</f>
        <v>1.107</v>
      </c>
      <c r="M321" s="246">
        <v>22353.269400000001</v>
      </c>
      <c r="N321" s="247">
        <v>27162.87948</v>
      </c>
    </row>
    <row r="322" spans="1:14" ht="15.75" thickBot="1">
      <c r="A322" s="2"/>
      <c r="B322" s="13" t="s">
        <v>3071</v>
      </c>
      <c r="C322" s="14">
        <v>110</v>
      </c>
      <c r="D322" s="15">
        <v>150</v>
      </c>
      <c r="E322" s="27">
        <v>285</v>
      </c>
      <c r="F322" s="28">
        <v>111</v>
      </c>
      <c r="G322" s="186">
        <v>167</v>
      </c>
      <c r="H322" s="27" t="s">
        <v>800</v>
      </c>
      <c r="I322" s="28">
        <v>2900</v>
      </c>
      <c r="J322" s="38" t="s">
        <v>566</v>
      </c>
      <c r="K322" s="39">
        <v>1537</v>
      </c>
      <c r="L322" s="42">
        <f>0.87*0.72*2.37</f>
        <v>1.4845679999999999</v>
      </c>
      <c r="M322" s="246">
        <v>32935.838760000006</v>
      </c>
      <c r="N322" s="247">
        <v>38334.162240000005</v>
      </c>
    </row>
    <row r="323" spans="1:14" ht="15.75" thickBot="1">
      <c r="A323" s="2"/>
      <c r="B323" s="13" t="s">
        <v>3072</v>
      </c>
      <c r="C323" s="14">
        <v>132</v>
      </c>
      <c r="D323" s="15">
        <v>180</v>
      </c>
      <c r="E323" s="27">
        <v>285</v>
      </c>
      <c r="F323" s="28">
        <v>133.5</v>
      </c>
      <c r="G323" s="186">
        <v>190</v>
      </c>
      <c r="H323" s="27" t="s">
        <v>800</v>
      </c>
      <c r="I323" s="28">
        <v>2900</v>
      </c>
      <c r="J323" s="38" t="s">
        <v>566</v>
      </c>
      <c r="K323" s="39">
        <v>1619</v>
      </c>
      <c r="L323" s="42">
        <f>0.87*0.72*2.46</f>
        <v>1.5409439999999999</v>
      </c>
      <c r="M323" s="246">
        <v>34737.658560000003</v>
      </c>
      <c r="N323" s="247">
        <v>40135.982040000003</v>
      </c>
    </row>
    <row r="324" spans="1:14" ht="15.75" thickBot="1">
      <c r="A324" s="2"/>
      <c r="B324" s="13" t="s">
        <v>3073</v>
      </c>
      <c r="C324" s="14">
        <v>160</v>
      </c>
      <c r="D324" s="15">
        <v>220</v>
      </c>
      <c r="E324" s="27">
        <v>285</v>
      </c>
      <c r="F324" s="28">
        <v>155</v>
      </c>
      <c r="G324" s="186">
        <v>230</v>
      </c>
      <c r="H324" s="27" t="s">
        <v>800</v>
      </c>
      <c r="I324" s="28">
        <v>2900</v>
      </c>
      <c r="J324" s="38" t="s">
        <v>566</v>
      </c>
      <c r="K324" s="39">
        <v>1659</v>
      </c>
      <c r="L324" s="42">
        <f>0.87*0.72*2.6</f>
        <v>1.6286399999999999</v>
      </c>
      <c r="M324" s="246">
        <v>38366.273880000001</v>
      </c>
      <c r="N324" s="247">
        <v>43514.84016</v>
      </c>
    </row>
    <row r="325" spans="1:14" ht="15.75" thickBot="1">
      <c r="A325" s="2"/>
      <c r="B325" s="13" t="s">
        <v>3074</v>
      </c>
      <c r="C325" s="14">
        <v>160</v>
      </c>
      <c r="D325" s="15">
        <v>220</v>
      </c>
      <c r="E325" s="27">
        <v>285</v>
      </c>
      <c r="F325" s="28">
        <v>166</v>
      </c>
      <c r="G325" s="186">
        <v>242</v>
      </c>
      <c r="H325" s="27" t="s">
        <v>800</v>
      </c>
      <c r="I325" s="28">
        <v>2900</v>
      </c>
      <c r="J325" s="38" t="s">
        <v>566</v>
      </c>
      <c r="K325" s="39">
        <v>1659</v>
      </c>
      <c r="L325" s="42">
        <f>0.87*0.72*2.6</f>
        <v>1.6286399999999999</v>
      </c>
      <c r="M325" s="246">
        <v>38366.273880000001</v>
      </c>
      <c r="N325" s="247">
        <v>43514.84016</v>
      </c>
    </row>
    <row r="326" spans="1:14" ht="15.75" thickBot="1">
      <c r="A326" s="2"/>
      <c r="B326" s="13" t="s">
        <v>3075</v>
      </c>
      <c r="C326" s="14">
        <v>185</v>
      </c>
      <c r="D326" s="15">
        <v>250</v>
      </c>
      <c r="E326" s="27">
        <v>285</v>
      </c>
      <c r="F326" s="28">
        <v>178</v>
      </c>
      <c r="G326" s="186">
        <v>253</v>
      </c>
      <c r="H326" s="27" t="s">
        <v>800</v>
      </c>
      <c r="I326" s="28">
        <v>2900</v>
      </c>
      <c r="J326" s="38" t="s">
        <v>566</v>
      </c>
      <c r="K326" s="39">
        <v>1759</v>
      </c>
      <c r="L326" s="42">
        <f>0.92*0.82*2.6</f>
        <v>1.9614400000000001</v>
      </c>
      <c r="M326" s="246">
        <v>39554.404560000003</v>
      </c>
      <c r="N326" s="247">
        <v>44702.970840000002</v>
      </c>
    </row>
    <row r="327" spans="1:14" ht="15.75" thickBot="1">
      <c r="A327" s="2"/>
      <c r="B327" s="13" t="s">
        <v>3076</v>
      </c>
      <c r="C327" s="14">
        <v>185</v>
      </c>
      <c r="D327" s="15">
        <v>250</v>
      </c>
      <c r="E327" s="27">
        <v>285</v>
      </c>
      <c r="F327" s="28">
        <v>199</v>
      </c>
      <c r="G327" s="186">
        <v>293.5</v>
      </c>
      <c r="H327" s="27" t="s">
        <v>800</v>
      </c>
      <c r="I327" s="28">
        <v>2900</v>
      </c>
      <c r="J327" s="38" t="s">
        <v>566</v>
      </c>
      <c r="K327" s="39">
        <v>1783</v>
      </c>
      <c r="L327" s="42">
        <f>0.92*0.82*2.75</f>
        <v>2.0745999999999998</v>
      </c>
      <c r="M327" s="246">
        <v>46736.708040000005</v>
      </c>
      <c r="N327" s="247">
        <v>51913.817999999999</v>
      </c>
    </row>
    <row r="328" spans="1:14" ht="15.75" thickBot="1">
      <c r="A328" s="2"/>
      <c r="B328" s="13" t="s">
        <v>3077</v>
      </c>
      <c r="C328" s="14">
        <v>200</v>
      </c>
      <c r="D328" s="15">
        <v>270</v>
      </c>
      <c r="E328" s="27">
        <v>285</v>
      </c>
      <c r="F328" s="28">
        <v>211</v>
      </c>
      <c r="G328" s="186">
        <v>305</v>
      </c>
      <c r="H328" s="27" t="s">
        <v>800</v>
      </c>
      <c r="I328" s="28">
        <v>2900</v>
      </c>
      <c r="J328" s="38" t="s">
        <v>566</v>
      </c>
      <c r="K328" s="39">
        <v>1823</v>
      </c>
      <c r="L328" s="42">
        <f>0.92*0.82*2.75</f>
        <v>2.0745999999999998</v>
      </c>
      <c r="M328" s="246">
        <v>48135.348360000004</v>
      </c>
      <c r="N328" s="247">
        <v>53316.026280000005</v>
      </c>
    </row>
    <row r="329" spans="1:14" ht="15.75" thickBot="1">
      <c r="A329" s="2"/>
      <c r="B329" s="13" t="s">
        <v>3078</v>
      </c>
      <c r="C329" s="14">
        <v>220</v>
      </c>
      <c r="D329" s="15">
        <v>300</v>
      </c>
      <c r="E329" s="27">
        <v>285</v>
      </c>
      <c r="F329" s="28">
        <v>222.5</v>
      </c>
      <c r="G329" s="186">
        <v>316.5</v>
      </c>
      <c r="H329" s="27" t="s">
        <v>800</v>
      </c>
      <c r="I329" s="28">
        <v>2900</v>
      </c>
      <c r="J329" s="38" t="s">
        <v>566</v>
      </c>
      <c r="K329" s="39">
        <v>2103</v>
      </c>
      <c r="L329" s="42">
        <f>0.92*0.82*2.75</f>
        <v>2.0745999999999998</v>
      </c>
      <c r="M329" s="246">
        <v>56933.937720000002</v>
      </c>
      <c r="N329" s="247">
        <v>62114.615640000011</v>
      </c>
    </row>
    <row r="330" spans="1:14" ht="15.75" thickBot="1">
      <c r="A330" s="2"/>
      <c r="B330" s="13" t="s">
        <v>3079</v>
      </c>
      <c r="C330" s="14">
        <v>220</v>
      </c>
      <c r="D330" s="15">
        <v>300</v>
      </c>
      <c r="E330" s="27">
        <v>285</v>
      </c>
      <c r="F330" s="28">
        <v>234</v>
      </c>
      <c r="G330" s="186">
        <v>345.5</v>
      </c>
      <c r="H330" s="27" t="s">
        <v>800</v>
      </c>
      <c r="I330" s="28">
        <v>2900</v>
      </c>
      <c r="J330" s="38" t="s">
        <v>566</v>
      </c>
      <c r="K330" s="39">
        <v>2137</v>
      </c>
      <c r="L330" s="42">
        <f>0.92*0.82*2.89</f>
        <v>2.1802160000000002</v>
      </c>
      <c r="M330" s="246">
        <v>69414.661800000002</v>
      </c>
      <c r="N330" s="247">
        <v>74299.199040000021</v>
      </c>
    </row>
    <row r="331" spans="1:14" ht="15.75" thickBot="1">
      <c r="A331" s="2"/>
      <c r="B331" s="13" t="s">
        <v>3080</v>
      </c>
      <c r="C331" s="14">
        <v>250</v>
      </c>
      <c r="D331" s="15">
        <v>340</v>
      </c>
      <c r="E331" s="27">
        <v>285</v>
      </c>
      <c r="F331" s="28">
        <v>267</v>
      </c>
      <c r="G331" s="186">
        <v>380</v>
      </c>
      <c r="H331" s="27" t="s">
        <v>800</v>
      </c>
      <c r="I331" s="28">
        <v>2900</v>
      </c>
      <c r="J331" s="38" t="s">
        <v>566</v>
      </c>
      <c r="K331" s="39">
        <v>2271</v>
      </c>
      <c r="L331" s="42">
        <f>1.03*0.82*3.12</f>
        <v>2.6351520000000002</v>
      </c>
      <c r="M331" s="246">
        <v>70870.389480000013</v>
      </c>
      <c r="N331" s="247">
        <v>75754.926720000003</v>
      </c>
    </row>
    <row r="332" spans="1:14" ht="15.75" thickBot="1">
      <c r="A332" s="2"/>
      <c r="B332" s="13" t="s">
        <v>3081</v>
      </c>
      <c r="C332" s="14">
        <v>280</v>
      </c>
      <c r="D332" s="15">
        <v>380</v>
      </c>
      <c r="E332" s="27">
        <v>285</v>
      </c>
      <c r="F332" s="28">
        <v>278</v>
      </c>
      <c r="G332" s="186">
        <v>408</v>
      </c>
      <c r="H332" s="27" t="s">
        <v>800</v>
      </c>
      <c r="I332" s="28">
        <v>2900</v>
      </c>
      <c r="J332" s="38" t="s">
        <v>566</v>
      </c>
      <c r="K332" s="39">
        <v>2355</v>
      </c>
      <c r="L332" s="42">
        <f>1.03*0.82*3.26</f>
        <v>2.753396</v>
      </c>
      <c r="M332" s="246">
        <v>79561.940040000001</v>
      </c>
      <c r="N332" s="247">
        <v>85013.782920000012</v>
      </c>
    </row>
    <row r="333" spans="1:14" ht="15.75" thickBot="1">
      <c r="A333" s="2"/>
      <c r="B333" s="13" t="s">
        <v>3082</v>
      </c>
      <c r="C333" s="14">
        <v>45</v>
      </c>
      <c r="D333" s="15">
        <v>60</v>
      </c>
      <c r="E333" s="27">
        <v>315</v>
      </c>
      <c r="F333" s="28">
        <v>34.5</v>
      </c>
      <c r="G333" s="186">
        <v>50</v>
      </c>
      <c r="H333" s="27" t="s">
        <v>800</v>
      </c>
      <c r="I333" s="28">
        <v>2900</v>
      </c>
      <c r="J333" s="38" t="s">
        <v>566</v>
      </c>
      <c r="K333" s="39">
        <v>823</v>
      </c>
      <c r="L333" s="42">
        <f>0.74*0.82*1.72</f>
        <v>1.043696</v>
      </c>
      <c r="M333" s="246">
        <v>16055.82</v>
      </c>
      <c r="N333" s="247">
        <v>20876.133960000003</v>
      </c>
    </row>
    <row r="334" spans="1:14" ht="15.75" thickBot="1">
      <c r="A334" s="2"/>
      <c r="B334" s="13" t="s">
        <v>3083</v>
      </c>
      <c r="C334" s="14">
        <v>55</v>
      </c>
      <c r="D334" s="15">
        <v>75</v>
      </c>
      <c r="E334" s="27">
        <v>315</v>
      </c>
      <c r="F334" s="28">
        <v>44</v>
      </c>
      <c r="G334" s="186">
        <v>59</v>
      </c>
      <c r="H334" s="27" t="s">
        <v>800</v>
      </c>
      <c r="I334" s="28">
        <v>2900</v>
      </c>
      <c r="J334" s="38" t="s">
        <v>566</v>
      </c>
      <c r="K334" s="39">
        <v>872</v>
      </c>
      <c r="L334" s="42">
        <f>0.76*0.82*1.79</f>
        <v>1.1155280000000001</v>
      </c>
      <c r="M334" s="246">
        <v>16815.795480000001</v>
      </c>
      <c r="N334" s="247">
        <v>21632.541480000004</v>
      </c>
    </row>
    <row r="335" spans="1:14" ht="15.75" thickBot="1">
      <c r="A335" s="2"/>
      <c r="B335" s="13" t="s">
        <v>3084</v>
      </c>
      <c r="C335" s="14">
        <v>75</v>
      </c>
      <c r="D335" s="15">
        <v>100</v>
      </c>
      <c r="E335" s="27">
        <v>315</v>
      </c>
      <c r="F335" s="28">
        <v>65</v>
      </c>
      <c r="G335" s="186">
        <v>100.5</v>
      </c>
      <c r="H335" s="27" t="s">
        <v>800</v>
      </c>
      <c r="I335" s="28">
        <v>2900</v>
      </c>
      <c r="J335" s="38" t="s">
        <v>566</v>
      </c>
      <c r="K335" s="39">
        <v>1010</v>
      </c>
      <c r="L335" s="42">
        <f>0.79*0.82*2</f>
        <v>1.2956000000000001</v>
      </c>
      <c r="M335" s="246">
        <v>23602.055400000001</v>
      </c>
      <c r="N335" s="247">
        <v>29578.388400000003</v>
      </c>
    </row>
    <row r="336" spans="1:14" ht="15.75" thickBot="1">
      <c r="A336" s="2"/>
      <c r="B336" s="13" t="s">
        <v>3085</v>
      </c>
      <c r="C336" s="14">
        <v>90</v>
      </c>
      <c r="D336" s="15">
        <v>125</v>
      </c>
      <c r="E336" s="27">
        <v>315</v>
      </c>
      <c r="F336" s="28">
        <v>80</v>
      </c>
      <c r="G336" s="186">
        <v>110</v>
      </c>
      <c r="H336" s="27" t="s">
        <v>800</v>
      </c>
      <c r="I336" s="28">
        <v>2900</v>
      </c>
      <c r="J336" s="38" t="s">
        <v>566</v>
      </c>
      <c r="K336" s="39">
        <v>1034</v>
      </c>
      <c r="L336" s="42">
        <f>0.79*0.82*2.05</f>
        <v>1.32799</v>
      </c>
      <c r="M336" s="246">
        <v>24126.545520000003</v>
      </c>
      <c r="N336" s="247">
        <v>30106.446479999999</v>
      </c>
    </row>
    <row r="337" spans="1:14" ht="15.75" thickBot="1">
      <c r="A337" s="2"/>
      <c r="B337" s="13" t="s">
        <v>3086</v>
      </c>
      <c r="C337" s="14">
        <v>110</v>
      </c>
      <c r="D337" s="15">
        <v>150</v>
      </c>
      <c r="E337" s="27">
        <v>315</v>
      </c>
      <c r="F337" s="28">
        <v>88.5</v>
      </c>
      <c r="G337" s="186">
        <v>120</v>
      </c>
      <c r="H337" s="27" t="s">
        <v>800</v>
      </c>
      <c r="I337" s="28">
        <v>2900</v>
      </c>
      <c r="J337" s="38" t="s">
        <v>566</v>
      </c>
      <c r="K337" s="39">
        <v>1491</v>
      </c>
      <c r="L337" s="42">
        <f>0.92*0.82*2.22</f>
        <v>1.674768</v>
      </c>
      <c r="M337" s="246">
        <v>29442.805920000003</v>
      </c>
      <c r="N337" s="247">
        <v>35422.706879999998</v>
      </c>
    </row>
    <row r="338" spans="1:14" ht="15.75" thickBot="1">
      <c r="A338" s="2"/>
      <c r="B338" s="13" t="s">
        <v>3087</v>
      </c>
      <c r="C338" s="14">
        <v>110</v>
      </c>
      <c r="D338" s="15">
        <v>150</v>
      </c>
      <c r="E338" s="27">
        <v>315</v>
      </c>
      <c r="F338" s="28">
        <v>98</v>
      </c>
      <c r="G338" s="186">
        <v>151</v>
      </c>
      <c r="H338" s="27" t="s">
        <v>800</v>
      </c>
      <c r="I338" s="28">
        <v>2900</v>
      </c>
      <c r="J338" s="38" t="s">
        <v>566</v>
      </c>
      <c r="K338" s="39">
        <v>1524</v>
      </c>
      <c r="L338" s="42">
        <f>0.92*0.82*2.37</f>
        <v>1.787928</v>
      </c>
      <c r="M338" s="246">
        <v>35929.357199999999</v>
      </c>
      <c r="N338" s="247">
        <v>42337.413360000006</v>
      </c>
    </row>
    <row r="339" spans="1:14" ht="15.75" thickBot="1">
      <c r="A339" s="2"/>
      <c r="B339" s="13" t="s">
        <v>3088</v>
      </c>
      <c r="C339" s="14">
        <v>132</v>
      </c>
      <c r="D339" s="15">
        <v>180</v>
      </c>
      <c r="E339" s="27">
        <v>315</v>
      </c>
      <c r="F339" s="28">
        <v>124</v>
      </c>
      <c r="G339" s="186">
        <v>171</v>
      </c>
      <c r="H339" s="27" t="s">
        <v>800</v>
      </c>
      <c r="I339" s="28">
        <v>2900</v>
      </c>
      <c r="J339" s="38" t="s">
        <v>566</v>
      </c>
      <c r="K339" s="39">
        <v>1607</v>
      </c>
      <c r="L339" s="42">
        <f>0.92*0.82*2.46</f>
        <v>1.8558239999999999</v>
      </c>
      <c r="M339" s="246">
        <v>37734.744960000004</v>
      </c>
      <c r="N339" s="247">
        <v>44142.801120000004</v>
      </c>
    </row>
    <row r="340" spans="1:14" ht="15.75" thickBot="1">
      <c r="A340" s="2"/>
      <c r="B340" s="13" t="s">
        <v>3089</v>
      </c>
      <c r="C340" s="14">
        <v>160</v>
      </c>
      <c r="D340" s="15">
        <v>220</v>
      </c>
      <c r="E340" s="27">
        <v>315</v>
      </c>
      <c r="F340" s="28">
        <v>133</v>
      </c>
      <c r="G340" s="186">
        <v>181</v>
      </c>
      <c r="H340" s="27" t="s">
        <v>800</v>
      </c>
      <c r="I340" s="28">
        <v>2900</v>
      </c>
      <c r="J340" s="38" t="s">
        <v>566</v>
      </c>
      <c r="K340" s="39">
        <v>1677</v>
      </c>
      <c r="L340" s="42">
        <f>0.92*0.82*2.46</f>
        <v>1.8558239999999999</v>
      </c>
      <c r="M340" s="246">
        <v>39532.996800000008</v>
      </c>
      <c r="N340" s="247">
        <v>45941.052960000008</v>
      </c>
    </row>
    <row r="341" spans="1:14" ht="15.75" thickBot="1">
      <c r="A341" s="2"/>
      <c r="B341" s="13" t="s">
        <v>3090</v>
      </c>
      <c r="C341" s="14">
        <v>160</v>
      </c>
      <c r="D341" s="15">
        <v>220</v>
      </c>
      <c r="E341" s="27">
        <v>315</v>
      </c>
      <c r="F341" s="28">
        <v>152</v>
      </c>
      <c r="G341" s="186">
        <v>221</v>
      </c>
      <c r="H341" s="27" t="s">
        <v>800</v>
      </c>
      <c r="I341" s="28">
        <v>2900</v>
      </c>
      <c r="J341" s="38" t="s">
        <v>566</v>
      </c>
      <c r="K341" s="39">
        <v>1709</v>
      </c>
      <c r="L341" s="42">
        <f>0.92*0.82*2.6</f>
        <v>1.9614400000000001</v>
      </c>
      <c r="M341" s="246">
        <v>41095.763279999999</v>
      </c>
      <c r="N341" s="247">
        <v>46255.033439999999</v>
      </c>
    </row>
    <row r="342" spans="1:14" ht="15.75" thickBot="1">
      <c r="A342" s="2"/>
      <c r="B342" s="13" t="s">
        <v>3091</v>
      </c>
      <c r="C342" s="14">
        <v>185</v>
      </c>
      <c r="D342" s="15">
        <v>250</v>
      </c>
      <c r="E342" s="27">
        <v>315</v>
      </c>
      <c r="F342" s="28">
        <v>178</v>
      </c>
      <c r="G342" s="186">
        <v>241</v>
      </c>
      <c r="H342" s="27" t="s">
        <v>800</v>
      </c>
      <c r="I342" s="28">
        <v>2900</v>
      </c>
      <c r="J342" s="38" t="s">
        <v>566</v>
      </c>
      <c r="K342" s="39">
        <v>1769</v>
      </c>
      <c r="L342" s="42">
        <f>0.92*0.82*2.6</f>
        <v>1.9614400000000001</v>
      </c>
      <c r="M342" s="246">
        <v>42283.893960000001</v>
      </c>
      <c r="N342" s="247">
        <v>47443.164120000001</v>
      </c>
    </row>
    <row r="343" spans="1:14" ht="15.75" thickBot="1">
      <c r="A343" s="2"/>
      <c r="B343" s="13" t="s">
        <v>3092</v>
      </c>
      <c r="C343" s="14">
        <v>220</v>
      </c>
      <c r="D343" s="15">
        <v>300</v>
      </c>
      <c r="E343" s="27">
        <v>315</v>
      </c>
      <c r="F343" s="28">
        <v>209.5</v>
      </c>
      <c r="G343" s="186">
        <v>291</v>
      </c>
      <c r="H343" s="27" t="s">
        <v>800</v>
      </c>
      <c r="I343" s="28">
        <v>2900</v>
      </c>
      <c r="J343" s="38" t="s">
        <v>566</v>
      </c>
      <c r="K343" s="39">
        <v>2114</v>
      </c>
      <c r="L343" s="42">
        <f>0.92*0.82*2.75</f>
        <v>2.0745999999999998</v>
      </c>
      <c r="M343" s="246">
        <v>60844.421880000002</v>
      </c>
      <c r="N343" s="247">
        <v>66003.692040000009</v>
      </c>
    </row>
    <row r="344" spans="1:14" ht="15.75" thickBot="1">
      <c r="A344" s="2"/>
      <c r="B344" s="13" t="s">
        <v>3093</v>
      </c>
      <c r="C344" s="14">
        <v>250</v>
      </c>
      <c r="D344" s="15">
        <v>340</v>
      </c>
      <c r="E344" s="27">
        <v>315</v>
      </c>
      <c r="F344" s="28">
        <v>222</v>
      </c>
      <c r="G344" s="186">
        <v>301.5</v>
      </c>
      <c r="H344" s="27" t="s">
        <v>800</v>
      </c>
      <c r="I344" s="28">
        <v>2900</v>
      </c>
      <c r="J344" s="38" t="s">
        <v>566</v>
      </c>
      <c r="K344" s="39">
        <v>2246</v>
      </c>
      <c r="L344" s="42">
        <f>1.03*0.82*2.97</f>
        <v>2.5084620000000002</v>
      </c>
      <c r="M344" s="246">
        <v>62303.717520000013</v>
      </c>
      <c r="N344" s="247">
        <v>67462.987679999991</v>
      </c>
    </row>
    <row r="345" spans="1:14" ht="15.75" thickBot="1">
      <c r="A345" s="2"/>
      <c r="B345" s="13" t="s">
        <v>3094</v>
      </c>
      <c r="C345" s="14">
        <v>250</v>
      </c>
      <c r="D345" s="15">
        <v>340</v>
      </c>
      <c r="E345" s="27">
        <v>315</v>
      </c>
      <c r="F345" s="28">
        <v>242</v>
      </c>
      <c r="G345" s="186">
        <v>342</v>
      </c>
      <c r="H345" s="27" t="s">
        <v>800</v>
      </c>
      <c r="I345" s="28">
        <v>2900</v>
      </c>
      <c r="J345" s="38" t="s">
        <v>566</v>
      </c>
      <c r="K345" s="39">
        <v>2286</v>
      </c>
      <c r="L345" s="42">
        <f>1.03*0.82*3.12</f>
        <v>2.6351520000000002</v>
      </c>
      <c r="M345" s="246">
        <v>69354.006479999996</v>
      </c>
      <c r="N345" s="247">
        <v>74513.276640000011</v>
      </c>
    </row>
    <row r="346" spans="1:14" ht="15.75" thickBot="1">
      <c r="A346" s="2"/>
      <c r="B346" s="13" t="s">
        <v>3095</v>
      </c>
      <c r="C346" s="14">
        <v>280</v>
      </c>
      <c r="D346" s="15">
        <v>380</v>
      </c>
      <c r="E346" s="27">
        <v>315</v>
      </c>
      <c r="F346" s="28">
        <v>266.5</v>
      </c>
      <c r="G346" s="186">
        <v>362</v>
      </c>
      <c r="H346" s="27" t="s">
        <v>800</v>
      </c>
      <c r="I346" s="28">
        <v>2900</v>
      </c>
      <c r="J346" s="38" t="s">
        <v>566</v>
      </c>
      <c r="K346" s="39">
        <v>2356</v>
      </c>
      <c r="L346" s="42">
        <f>1.03*0.82*3.12</f>
        <v>2.6351520000000002</v>
      </c>
      <c r="M346" s="246">
        <v>71562.57372</v>
      </c>
      <c r="N346" s="247">
        <v>76721.84388</v>
      </c>
    </row>
    <row r="347" spans="1:14" ht="15.75" thickBot="1">
      <c r="A347" s="2"/>
      <c r="B347" s="13" t="s">
        <v>3096</v>
      </c>
      <c r="C347" s="14">
        <v>315</v>
      </c>
      <c r="D347" s="15">
        <v>430</v>
      </c>
      <c r="E347" s="27">
        <v>315</v>
      </c>
      <c r="F347" s="28">
        <v>297</v>
      </c>
      <c r="G347" s="186">
        <v>412</v>
      </c>
      <c r="H347" s="27" t="s">
        <v>800</v>
      </c>
      <c r="I347" s="28">
        <v>2900</v>
      </c>
      <c r="J347" s="38" t="s">
        <v>566</v>
      </c>
      <c r="K347" s="39">
        <v>2480</v>
      </c>
      <c r="L347" s="42">
        <f>1.03*0.82*3.26</f>
        <v>2.753396</v>
      </c>
      <c r="M347" s="246">
        <v>81092.59487999999</v>
      </c>
      <c r="N347" s="247">
        <v>86251.865040000004</v>
      </c>
    </row>
    <row r="348" spans="1:14" ht="15.75" thickBot="1">
      <c r="A348" s="2"/>
      <c r="B348" s="13" t="s">
        <v>3097</v>
      </c>
      <c r="C348" s="14">
        <v>55</v>
      </c>
      <c r="D348" s="15">
        <v>75</v>
      </c>
      <c r="E348" s="27">
        <v>355</v>
      </c>
      <c r="F348" s="28">
        <v>46.5</v>
      </c>
      <c r="G348" s="186">
        <v>65.5</v>
      </c>
      <c r="H348" s="27" t="s">
        <v>800</v>
      </c>
      <c r="I348" s="28">
        <v>2900</v>
      </c>
      <c r="J348" s="38" t="s">
        <v>566</v>
      </c>
      <c r="K348" s="39">
        <v>848</v>
      </c>
      <c r="L348" s="42">
        <f>0.76*0.82*1.79</f>
        <v>1.1155280000000001</v>
      </c>
      <c r="M348" s="246">
        <v>17647.130160000004</v>
      </c>
      <c r="N348" s="247">
        <v>22474.580039999997</v>
      </c>
    </row>
    <row r="349" spans="1:14" ht="15.75" thickBot="1">
      <c r="A349" s="2"/>
      <c r="B349" s="13" t="s">
        <v>3098</v>
      </c>
      <c r="C349" s="14">
        <v>90</v>
      </c>
      <c r="D349" s="15">
        <v>125</v>
      </c>
      <c r="E349" s="27">
        <v>355</v>
      </c>
      <c r="F349" s="28">
        <v>74</v>
      </c>
      <c r="G349" s="186">
        <v>110</v>
      </c>
      <c r="H349" s="27" t="s">
        <v>800</v>
      </c>
      <c r="I349" s="28">
        <v>2900</v>
      </c>
      <c r="J349" s="38" t="s">
        <v>566</v>
      </c>
      <c r="K349" s="39">
        <v>1049</v>
      </c>
      <c r="L349" s="42">
        <f>0.79*0.82*2.05</f>
        <v>1.32799</v>
      </c>
      <c r="M349" s="246">
        <v>26570.598119999999</v>
      </c>
      <c r="N349" s="247">
        <v>31533.63048</v>
      </c>
    </row>
    <row r="350" spans="1:14" ht="15.75" thickBot="1">
      <c r="A350" s="2"/>
      <c r="B350" s="13" t="s">
        <v>3099</v>
      </c>
      <c r="C350" s="14">
        <v>110</v>
      </c>
      <c r="D350" s="15">
        <v>150</v>
      </c>
      <c r="E350" s="27">
        <v>355</v>
      </c>
      <c r="F350" s="28">
        <v>94</v>
      </c>
      <c r="G350" s="186">
        <v>133</v>
      </c>
      <c r="H350" s="27" t="s">
        <v>800</v>
      </c>
      <c r="I350" s="28">
        <v>2900</v>
      </c>
      <c r="J350" s="38" t="s">
        <v>566</v>
      </c>
      <c r="K350" s="39">
        <v>1506</v>
      </c>
      <c r="L350" s="42">
        <f>0.92*0.82*2.22</f>
        <v>1.674768</v>
      </c>
      <c r="M350" s="246">
        <v>31886.858520000005</v>
      </c>
      <c r="N350" s="247">
        <v>36849.890879999999</v>
      </c>
    </row>
    <row r="351" spans="1:14" ht="15.75" thickBot="1">
      <c r="A351" s="2"/>
      <c r="B351" s="13" t="s">
        <v>3100</v>
      </c>
      <c r="C351" s="14">
        <v>132</v>
      </c>
      <c r="D351" s="15">
        <v>180</v>
      </c>
      <c r="E351" s="27">
        <v>355</v>
      </c>
      <c r="F351" s="28">
        <v>111</v>
      </c>
      <c r="G351" s="186">
        <v>165</v>
      </c>
      <c r="H351" s="27" t="s">
        <v>800</v>
      </c>
      <c r="I351" s="28">
        <v>2900</v>
      </c>
      <c r="J351" s="38" t="s">
        <v>566</v>
      </c>
      <c r="K351" s="39">
        <v>1613</v>
      </c>
      <c r="L351" s="42">
        <f>0.92*0.82*2.46</f>
        <v>1.8558239999999999</v>
      </c>
      <c r="M351" s="246">
        <v>36610.83756</v>
      </c>
      <c r="N351" s="247">
        <v>41773.67568</v>
      </c>
    </row>
    <row r="352" spans="1:14" ht="15.75" thickBot="1">
      <c r="A352" s="2"/>
      <c r="B352" s="13" t="s">
        <v>3101</v>
      </c>
      <c r="C352" s="14">
        <v>160</v>
      </c>
      <c r="D352" s="15">
        <v>220</v>
      </c>
      <c r="E352" s="27">
        <v>355</v>
      </c>
      <c r="F352" s="28">
        <v>141.5</v>
      </c>
      <c r="G352" s="186">
        <v>200</v>
      </c>
      <c r="H352" s="27" t="s">
        <v>800</v>
      </c>
      <c r="I352" s="28">
        <v>2900</v>
      </c>
      <c r="J352" s="38" t="s">
        <v>566</v>
      </c>
      <c r="K352" s="39">
        <v>1683</v>
      </c>
      <c r="L352" s="42">
        <f>0.92*0.82*2.46</f>
        <v>1.8558239999999999</v>
      </c>
      <c r="M352" s="246">
        <v>39597.220079999999</v>
      </c>
      <c r="N352" s="247">
        <v>44760.058200000007</v>
      </c>
    </row>
    <row r="353" spans="1:14" ht="15.75" thickBot="1">
      <c r="A353" s="2"/>
      <c r="B353" s="13" t="s">
        <v>3102</v>
      </c>
      <c r="C353" s="14">
        <v>185</v>
      </c>
      <c r="D353" s="15">
        <v>250</v>
      </c>
      <c r="E353" s="27">
        <v>355</v>
      </c>
      <c r="F353" s="28">
        <v>158</v>
      </c>
      <c r="G353" s="186">
        <v>232</v>
      </c>
      <c r="H353" s="27" t="s">
        <v>800</v>
      </c>
      <c r="I353" s="28">
        <v>2900</v>
      </c>
      <c r="J353" s="38" t="s">
        <v>566</v>
      </c>
      <c r="K353" s="39">
        <v>1765</v>
      </c>
      <c r="L353" s="42">
        <f>0.92*0.82*2.6</f>
        <v>1.9614400000000001</v>
      </c>
      <c r="M353" s="246">
        <v>41452.559280000001</v>
      </c>
      <c r="N353" s="247">
        <v>46615.397400000002</v>
      </c>
    </row>
    <row r="354" spans="1:14" ht="15.75" thickBot="1">
      <c r="A354" s="2"/>
      <c r="B354" s="13" t="s">
        <v>3103</v>
      </c>
      <c r="C354" s="14">
        <v>220</v>
      </c>
      <c r="D354" s="15">
        <v>300</v>
      </c>
      <c r="E354" s="27">
        <v>355</v>
      </c>
      <c r="F354" s="28">
        <v>188.5</v>
      </c>
      <c r="G354" s="186">
        <v>267</v>
      </c>
      <c r="H354" s="27" t="s">
        <v>800</v>
      </c>
      <c r="I354" s="28">
        <v>2900</v>
      </c>
      <c r="J354" s="38" t="s">
        <v>566</v>
      </c>
      <c r="K354" s="39">
        <v>2085</v>
      </c>
      <c r="L354" s="42">
        <f>0.92*0.82*2.6</f>
        <v>1.9614400000000001</v>
      </c>
      <c r="M354" s="246">
        <v>61186.946040000003</v>
      </c>
      <c r="N354" s="247">
        <v>66399.735600000015</v>
      </c>
    </row>
    <row r="355" spans="1:14" ht="15.75" thickBot="1">
      <c r="A355" s="2"/>
      <c r="B355" s="13" t="s">
        <v>3104</v>
      </c>
      <c r="C355" s="14">
        <v>250</v>
      </c>
      <c r="D355" s="15">
        <v>340</v>
      </c>
      <c r="E355" s="27">
        <v>355</v>
      </c>
      <c r="F355" s="28">
        <v>215.5</v>
      </c>
      <c r="G355" s="186">
        <v>310</v>
      </c>
      <c r="H355" s="27" t="s">
        <v>800</v>
      </c>
      <c r="I355" s="28">
        <v>2900</v>
      </c>
      <c r="J355" s="38" t="s">
        <v>566</v>
      </c>
      <c r="K355" s="39">
        <v>2241</v>
      </c>
      <c r="L355" s="42">
        <f>1.03*0.82*2.97</f>
        <v>2.5084620000000002</v>
      </c>
      <c r="M355" s="246">
        <v>62731.872720000007</v>
      </c>
      <c r="N355" s="247">
        <v>67944.662280000004</v>
      </c>
    </row>
    <row r="356" spans="1:14" ht="15.75" thickBot="1">
      <c r="A356" s="2"/>
      <c r="B356" s="13" t="s">
        <v>3105</v>
      </c>
      <c r="C356" s="14">
        <v>280</v>
      </c>
      <c r="D356" s="15">
        <v>380</v>
      </c>
      <c r="E356" s="27">
        <v>355</v>
      </c>
      <c r="F356" s="28">
        <v>235.5</v>
      </c>
      <c r="G356" s="186">
        <v>333</v>
      </c>
      <c r="H356" s="27" t="s">
        <v>800</v>
      </c>
      <c r="I356" s="28">
        <v>2900</v>
      </c>
      <c r="J356" s="38" t="s">
        <v>566</v>
      </c>
      <c r="K356" s="39">
        <v>2311</v>
      </c>
      <c r="L356" s="42">
        <f>1.03*0.82*2.97</f>
        <v>2.5084620000000002</v>
      </c>
      <c r="M356" s="246">
        <v>64936.87200000001</v>
      </c>
      <c r="N356" s="247">
        <v>70153.229520000008</v>
      </c>
    </row>
    <row r="357" spans="1:14" ht="15.75" thickBot="1">
      <c r="A357" s="2"/>
      <c r="B357" s="13" t="s">
        <v>3106</v>
      </c>
      <c r="C357" s="14">
        <v>315</v>
      </c>
      <c r="D357" s="15">
        <v>430</v>
      </c>
      <c r="E357" s="27">
        <v>355</v>
      </c>
      <c r="F357" s="28">
        <v>273</v>
      </c>
      <c r="G357" s="186">
        <v>388</v>
      </c>
      <c r="H357" s="27" t="s">
        <v>800</v>
      </c>
      <c r="I357" s="28">
        <v>2900</v>
      </c>
      <c r="J357" s="38" t="s">
        <v>566</v>
      </c>
      <c r="K357" s="39">
        <v>2446</v>
      </c>
      <c r="L357" s="42">
        <f>1.03*0.82*3.12</f>
        <v>2.6351520000000002</v>
      </c>
      <c r="M357" s="246">
        <v>74185.024320000011</v>
      </c>
      <c r="N357" s="247">
        <v>79401.381840000016</v>
      </c>
    </row>
    <row r="358" spans="1:14" ht="15.75" thickBot="1">
      <c r="A358" s="2"/>
      <c r="B358" s="13" t="s">
        <v>3107</v>
      </c>
      <c r="C358" s="14">
        <v>55</v>
      </c>
      <c r="D358" s="15">
        <v>75</v>
      </c>
      <c r="E358" s="27">
        <v>395</v>
      </c>
      <c r="F358" s="28">
        <v>36</v>
      </c>
      <c r="G358" s="186">
        <v>53.5</v>
      </c>
      <c r="H358" s="27" t="s">
        <v>800</v>
      </c>
      <c r="I358" s="28">
        <v>2900</v>
      </c>
      <c r="J358" s="38" t="s">
        <v>566</v>
      </c>
      <c r="K358" s="39">
        <v>849</v>
      </c>
      <c r="L358" s="42">
        <f>0.76*0.82*1.79</f>
        <v>1.1155280000000001</v>
      </c>
      <c r="M358" s="246">
        <v>34202.46456</v>
      </c>
      <c r="N358" s="247">
        <v>39493.749240000005</v>
      </c>
    </row>
    <row r="359" spans="1:14" ht="15.75" thickBot="1">
      <c r="A359" s="2"/>
      <c r="B359" s="13" t="s">
        <v>3108</v>
      </c>
      <c r="C359" s="14">
        <v>75</v>
      </c>
      <c r="D359" s="15">
        <v>100</v>
      </c>
      <c r="E359" s="27">
        <v>395</v>
      </c>
      <c r="F359" s="28">
        <v>48.5</v>
      </c>
      <c r="G359" s="186">
        <v>67.5</v>
      </c>
      <c r="H359" s="27" t="s">
        <v>800</v>
      </c>
      <c r="I359" s="28">
        <v>2900</v>
      </c>
      <c r="J359" s="38" t="s">
        <v>566</v>
      </c>
      <c r="K359" s="39">
        <v>994</v>
      </c>
      <c r="L359" s="42">
        <f>0.79*0.82*1.85</f>
        <v>1.1984300000000001</v>
      </c>
      <c r="M359" s="246">
        <v>35551.153440000002</v>
      </c>
      <c r="N359" s="247">
        <v>40842.438120000006</v>
      </c>
    </row>
    <row r="360" spans="1:14" ht="15.75" thickBot="1">
      <c r="A360" s="2"/>
      <c r="B360" s="13" t="s">
        <v>3109</v>
      </c>
      <c r="C360" s="14">
        <v>110</v>
      </c>
      <c r="D360" s="15">
        <v>150</v>
      </c>
      <c r="E360" s="27">
        <v>395</v>
      </c>
      <c r="F360" s="28">
        <v>73</v>
      </c>
      <c r="G360" s="186">
        <v>113</v>
      </c>
      <c r="H360" s="27" t="s">
        <v>800</v>
      </c>
      <c r="I360" s="28">
        <v>2900</v>
      </c>
      <c r="J360" s="38" t="s">
        <v>566</v>
      </c>
      <c r="K360" s="39">
        <v>1496</v>
      </c>
      <c r="L360" s="42">
        <f>0.92*0.82*2.22</f>
        <v>1.674768</v>
      </c>
      <c r="M360" s="246">
        <v>52966.366200000004</v>
      </c>
      <c r="N360" s="247">
        <v>58257.650880000001</v>
      </c>
    </row>
    <row r="361" spans="1:14" ht="15.75" thickBot="1">
      <c r="A361" s="2"/>
      <c r="B361" s="13" t="s">
        <v>3110</v>
      </c>
      <c r="C361" s="14">
        <v>110</v>
      </c>
      <c r="D361" s="15">
        <v>150</v>
      </c>
      <c r="E361" s="27">
        <v>395</v>
      </c>
      <c r="F361" s="28">
        <v>85</v>
      </c>
      <c r="G361" s="186">
        <v>124.5</v>
      </c>
      <c r="H361" s="27" t="s">
        <v>800</v>
      </c>
      <c r="I361" s="28">
        <v>2900</v>
      </c>
      <c r="J361" s="38" t="s">
        <v>566</v>
      </c>
      <c r="K361" s="39">
        <v>1496</v>
      </c>
      <c r="L361" s="42">
        <f>0.92*0.82*2.22</f>
        <v>1.674768</v>
      </c>
      <c r="M361" s="246">
        <v>52966.366200000004</v>
      </c>
      <c r="N361" s="247">
        <v>58257.650880000001</v>
      </c>
    </row>
    <row r="362" spans="1:14" ht="15.75" thickBot="1">
      <c r="A362" s="2"/>
      <c r="B362" s="13" t="s">
        <v>3111</v>
      </c>
      <c r="C362" s="14">
        <v>132</v>
      </c>
      <c r="D362" s="15">
        <v>180</v>
      </c>
      <c r="E362" s="27">
        <v>395</v>
      </c>
      <c r="F362" s="28">
        <v>97.5</v>
      </c>
      <c r="G362" s="186">
        <v>136</v>
      </c>
      <c r="H362" s="27" t="s">
        <v>800</v>
      </c>
      <c r="I362" s="28">
        <v>2900</v>
      </c>
      <c r="J362" s="38" t="s">
        <v>566</v>
      </c>
      <c r="K362" s="39">
        <v>1579</v>
      </c>
      <c r="L362" s="42">
        <f>0.92*0.82*2.31</f>
        <v>1.742664</v>
      </c>
      <c r="M362" s="246">
        <v>54771.753959999995</v>
      </c>
      <c r="N362" s="247">
        <v>60059.470680000006</v>
      </c>
    </row>
    <row r="363" spans="1:14" ht="15.75" thickBot="1">
      <c r="A363" s="2"/>
      <c r="B363" s="13" t="s">
        <v>3112</v>
      </c>
      <c r="C363" s="14">
        <v>160</v>
      </c>
      <c r="D363" s="15">
        <v>220</v>
      </c>
      <c r="E363" s="27">
        <v>395</v>
      </c>
      <c r="F363" s="28">
        <v>110</v>
      </c>
      <c r="G363" s="186">
        <v>170</v>
      </c>
      <c r="H363" s="27" t="s">
        <v>800</v>
      </c>
      <c r="I363" s="28">
        <v>2900</v>
      </c>
      <c r="J363" s="38" t="s">
        <v>566</v>
      </c>
      <c r="K363" s="39">
        <v>1443</v>
      </c>
      <c r="L363" s="42">
        <f>0.92*0.82*2.46</f>
        <v>1.8558239999999999</v>
      </c>
      <c r="M363" s="246">
        <v>72918.398520000002</v>
      </c>
      <c r="N363" s="247">
        <v>78209.683199999999</v>
      </c>
    </row>
    <row r="364" spans="1:14" ht="15.75" thickBot="1">
      <c r="A364" s="2"/>
      <c r="B364" s="13" t="s">
        <v>3113</v>
      </c>
      <c r="C364" s="14">
        <v>185</v>
      </c>
      <c r="D364" s="15">
        <v>250</v>
      </c>
      <c r="E364" s="27">
        <v>395</v>
      </c>
      <c r="F364" s="28">
        <v>134</v>
      </c>
      <c r="G364" s="186">
        <v>193.5</v>
      </c>
      <c r="H364" s="27" t="s">
        <v>800</v>
      </c>
      <c r="I364" s="28">
        <v>2900</v>
      </c>
      <c r="J364" s="38" t="s">
        <v>566</v>
      </c>
      <c r="K364" s="39">
        <v>1503</v>
      </c>
      <c r="L364" s="42">
        <f>0.92*0.82*2.46</f>
        <v>1.8558239999999999</v>
      </c>
      <c r="M364" s="246">
        <v>74106.529200000004</v>
      </c>
      <c r="N364" s="247">
        <v>79397.813880000002</v>
      </c>
    </row>
    <row r="365" spans="1:14" ht="15.75" thickBot="1">
      <c r="A365" s="2"/>
      <c r="B365" s="13" t="s">
        <v>3114</v>
      </c>
      <c r="C365" s="14">
        <v>200</v>
      </c>
      <c r="D365" s="15">
        <v>270</v>
      </c>
      <c r="E365" s="27">
        <v>395</v>
      </c>
      <c r="F365" s="28">
        <v>147</v>
      </c>
      <c r="G365" s="186">
        <v>205</v>
      </c>
      <c r="H365" s="27" t="s">
        <v>800</v>
      </c>
      <c r="I365" s="28">
        <v>2900</v>
      </c>
      <c r="J365" s="38" t="s">
        <v>566</v>
      </c>
      <c r="K365" s="39">
        <v>1783</v>
      </c>
      <c r="L365" s="42">
        <f>0.92*0.82*2.46</f>
        <v>1.8558239999999999</v>
      </c>
      <c r="M365" s="246">
        <v>75505.16952000001</v>
      </c>
      <c r="N365" s="247">
        <v>80796.454200000007</v>
      </c>
    </row>
    <row r="366" spans="1:14" ht="15.75" thickBot="1">
      <c r="A366" s="2"/>
      <c r="B366" s="13" t="s">
        <v>3115</v>
      </c>
      <c r="C366" s="14">
        <v>220</v>
      </c>
      <c r="D366" s="15">
        <v>300</v>
      </c>
      <c r="E366" s="27">
        <v>395</v>
      </c>
      <c r="F366" s="28">
        <v>171</v>
      </c>
      <c r="G366" s="186">
        <v>250</v>
      </c>
      <c r="H366" s="27" t="s">
        <v>800</v>
      </c>
      <c r="I366" s="28">
        <v>2900</v>
      </c>
      <c r="J366" s="38" t="s">
        <v>566</v>
      </c>
      <c r="K366" s="39">
        <v>2116</v>
      </c>
      <c r="L366" s="42">
        <f>0.92*0.82*2.83</f>
        <v>2.1349519999999997</v>
      </c>
      <c r="M366" s="246">
        <v>112469.23512</v>
      </c>
      <c r="N366" s="247">
        <v>117756.95184000001</v>
      </c>
    </row>
    <row r="367" spans="1:14" ht="15.75" thickBot="1">
      <c r="A367" s="2"/>
      <c r="B367" s="13" t="s">
        <v>3116</v>
      </c>
      <c r="C367" s="14">
        <v>250</v>
      </c>
      <c r="D367" s="15">
        <v>340</v>
      </c>
      <c r="E367" s="27">
        <v>395</v>
      </c>
      <c r="F367" s="28">
        <v>196</v>
      </c>
      <c r="G367" s="186">
        <v>273</v>
      </c>
      <c r="H367" s="27" t="s">
        <v>800</v>
      </c>
      <c r="I367" s="28">
        <v>2900</v>
      </c>
      <c r="J367" s="38" t="s">
        <v>566</v>
      </c>
      <c r="K367" s="39">
        <v>2227</v>
      </c>
      <c r="L367" s="42">
        <f>1.03*0.82*2.83</f>
        <v>2.390218</v>
      </c>
      <c r="M367" s="246">
        <v>113924.96280000001</v>
      </c>
      <c r="N367" s="247">
        <v>119216.24748000002</v>
      </c>
    </row>
    <row r="368" spans="1:14" ht="15.75" thickBot="1">
      <c r="A368" s="2"/>
      <c r="B368" s="13" t="s">
        <v>3117</v>
      </c>
      <c r="C368" s="14">
        <v>280</v>
      </c>
      <c r="D368" s="15">
        <v>380</v>
      </c>
      <c r="E368" s="27">
        <v>395</v>
      </c>
      <c r="F368" s="28">
        <v>207</v>
      </c>
      <c r="G368" s="186">
        <v>306</v>
      </c>
      <c r="H368" s="27" t="s">
        <v>800</v>
      </c>
      <c r="I368" s="28">
        <v>2900</v>
      </c>
      <c r="J368" s="38" t="s">
        <v>566</v>
      </c>
      <c r="K368" s="39">
        <v>2321</v>
      </c>
      <c r="L368" s="42">
        <f>1.03*0.82*2.97</f>
        <v>2.5084620000000002</v>
      </c>
      <c r="M368" s="246">
        <v>133873.42716000002</v>
      </c>
      <c r="N368" s="247">
        <v>139164.71184</v>
      </c>
    </row>
    <row r="369" spans="1:14" ht="15.75" thickBot="1">
      <c r="A369" s="2"/>
      <c r="B369" s="13" t="s">
        <v>3118</v>
      </c>
      <c r="C369" s="14">
        <v>315</v>
      </c>
      <c r="D369" s="15">
        <v>430</v>
      </c>
      <c r="E369" s="27">
        <v>395</v>
      </c>
      <c r="F369" s="28">
        <v>245</v>
      </c>
      <c r="G369" s="186">
        <v>341.5</v>
      </c>
      <c r="H369" s="27" t="s">
        <v>800</v>
      </c>
      <c r="I369" s="28">
        <v>2900</v>
      </c>
      <c r="J369" s="38" t="s">
        <v>566</v>
      </c>
      <c r="K369" s="39">
        <v>2431</v>
      </c>
      <c r="L369" s="42">
        <f>1.03*0.82*2.97</f>
        <v>2.5084620000000002</v>
      </c>
      <c r="M369" s="246">
        <v>136071.29052000001</v>
      </c>
      <c r="N369" s="247">
        <v>141362.57520000002</v>
      </c>
    </row>
  </sheetData>
  <mergeCells count="5">
    <mergeCell ref="B10:B11"/>
    <mergeCell ref="C10:D11"/>
    <mergeCell ref="E10:G10"/>
    <mergeCell ref="M10:N10"/>
    <mergeCell ref="M11:N1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tabColor theme="4" tint="0.59999389629810485"/>
  </sheetPr>
  <dimension ref="B3:S297"/>
  <sheetViews>
    <sheetView workbookViewId="0"/>
  </sheetViews>
  <sheetFormatPr defaultRowHeight="14.25"/>
  <cols>
    <col min="3" max="3" width="6.25" customWidth="1"/>
    <col min="4" max="4" width="20.25" customWidth="1"/>
    <col min="9" max="9" width="11" customWidth="1"/>
    <col min="10" max="10" width="12.25" customWidth="1"/>
    <col min="11" max="11" width="15.375" customWidth="1"/>
    <col min="14" max="14" width="19.625" customWidth="1"/>
    <col min="15" max="15" width="24.875" customWidth="1"/>
  </cols>
  <sheetData>
    <row r="3" spans="3:19" ht="27.75" thickBot="1">
      <c r="C3" s="4"/>
      <c r="D3" s="5" t="s">
        <v>196</v>
      </c>
      <c r="E3" s="6"/>
      <c r="F3" s="6"/>
      <c r="G3" s="6"/>
      <c r="H3" s="6"/>
      <c r="I3" s="6"/>
      <c r="J3" s="17"/>
      <c r="K3" s="6"/>
      <c r="L3" s="29"/>
      <c r="M3" s="29"/>
      <c r="N3" s="6"/>
      <c r="O3" s="6"/>
    </row>
    <row r="4" spans="3:19" ht="22.5">
      <c r="C4" s="4"/>
      <c r="D4" s="44" t="s">
        <v>1381</v>
      </c>
      <c r="E4" s="45" t="s">
        <v>2601</v>
      </c>
      <c r="F4" s="46"/>
      <c r="G4" s="51"/>
      <c r="H4" s="51"/>
      <c r="I4" s="51"/>
      <c r="J4" s="51"/>
      <c r="K4" s="51"/>
      <c r="L4" s="51"/>
      <c r="M4" s="51"/>
      <c r="N4" s="51"/>
      <c r="O4" s="51"/>
    </row>
    <row r="5" spans="3:19" ht="22.5">
      <c r="C5" s="4"/>
      <c r="D5" s="104" t="s">
        <v>1382</v>
      </c>
      <c r="E5" s="105" t="s">
        <v>1383</v>
      </c>
      <c r="F5" s="106"/>
      <c r="G5" s="107"/>
      <c r="H5" s="107"/>
      <c r="I5" s="107"/>
      <c r="J5" s="107"/>
      <c r="K5" s="107"/>
      <c r="L5" s="107"/>
      <c r="M5" s="107"/>
      <c r="N5" s="107"/>
      <c r="O5" s="107"/>
    </row>
    <row r="6" spans="3:19" ht="22.5">
      <c r="C6" s="4"/>
      <c r="D6" s="47" t="s">
        <v>1374</v>
      </c>
      <c r="E6" s="48" t="s">
        <v>1384</v>
      </c>
      <c r="F6" s="49"/>
      <c r="G6" s="52"/>
      <c r="H6" s="52"/>
      <c r="I6" s="52"/>
      <c r="J6" s="52"/>
      <c r="K6" s="52"/>
      <c r="L6" s="52"/>
      <c r="M6" s="52"/>
      <c r="N6" s="52"/>
      <c r="O6" s="52"/>
    </row>
    <row r="7" spans="3:19" ht="22.5">
      <c r="C7" s="4"/>
      <c r="D7" s="47" t="s">
        <v>1385</v>
      </c>
      <c r="E7" s="48" t="s">
        <v>1386</v>
      </c>
      <c r="F7" s="49"/>
      <c r="G7" s="52"/>
      <c r="H7" s="52"/>
      <c r="I7" s="52"/>
      <c r="J7" s="52"/>
      <c r="K7" s="52"/>
      <c r="L7" s="52"/>
      <c r="M7" s="52"/>
      <c r="N7" s="52"/>
      <c r="O7" s="52"/>
    </row>
    <row r="8" spans="3:19" ht="3" customHeight="1" thickBot="1">
      <c r="C8" s="4"/>
      <c r="D8" s="68"/>
      <c r="E8" s="69"/>
      <c r="F8" s="69"/>
      <c r="G8" s="69"/>
      <c r="H8" s="69"/>
      <c r="I8" s="69"/>
      <c r="J8" s="65"/>
      <c r="K8" s="69"/>
      <c r="L8" s="66"/>
      <c r="M8" s="66"/>
      <c r="N8" s="69"/>
      <c r="O8" s="69"/>
    </row>
    <row r="9" spans="3:19" ht="23.25" hidden="1" thickBot="1">
      <c r="C9" s="7"/>
      <c r="D9" s="8"/>
      <c r="E9" s="8"/>
      <c r="F9" s="8"/>
      <c r="G9" s="8"/>
      <c r="H9" s="8"/>
      <c r="I9" s="8"/>
      <c r="J9" s="1"/>
      <c r="K9" s="8"/>
      <c r="L9" s="1"/>
      <c r="M9" s="1"/>
      <c r="N9" s="8"/>
      <c r="O9" s="8"/>
    </row>
    <row r="10" spans="3:19" ht="15.75" thickBot="1">
      <c r="C10" s="3"/>
      <c r="D10" s="259" t="s">
        <v>0</v>
      </c>
      <c r="E10" s="255" t="s">
        <v>1</v>
      </c>
      <c r="F10" s="253"/>
      <c r="G10" s="265" t="s">
        <v>2</v>
      </c>
      <c r="H10" s="265"/>
      <c r="I10" s="18" t="s">
        <v>3</v>
      </c>
      <c r="J10" s="19" t="s">
        <v>4</v>
      </c>
      <c r="K10" s="30" t="s">
        <v>5</v>
      </c>
      <c r="L10" s="31" t="s">
        <v>6</v>
      </c>
      <c r="M10" s="31" t="s">
        <v>7</v>
      </c>
      <c r="N10" s="262" t="s">
        <v>8</v>
      </c>
      <c r="O10" s="262"/>
    </row>
    <row r="11" spans="3:19" ht="15.75" thickBot="1">
      <c r="C11" s="9"/>
      <c r="D11" s="264"/>
      <c r="E11" s="256"/>
      <c r="F11" s="254"/>
      <c r="G11" s="20" t="s">
        <v>9</v>
      </c>
      <c r="H11" s="10" t="s">
        <v>10</v>
      </c>
      <c r="I11" s="21"/>
      <c r="J11" s="22"/>
      <c r="K11" s="32"/>
      <c r="L11" s="33"/>
      <c r="M11" s="33"/>
      <c r="N11" s="263" t="s">
        <v>11</v>
      </c>
      <c r="O11" s="263"/>
    </row>
    <row r="12" spans="3:19" ht="15.75" thickBot="1">
      <c r="C12" s="3"/>
      <c r="D12" s="71"/>
      <c r="E12" s="12" t="s">
        <v>12</v>
      </c>
      <c r="F12" s="11" t="s">
        <v>13</v>
      </c>
      <c r="G12" s="23" t="s">
        <v>14</v>
      </c>
      <c r="H12" s="24" t="s">
        <v>15</v>
      </c>
      <c r="I12" s="25" t="s">
        <v>16</v>
      </c>
      <c r="J12" s="26" t="s">
        <v>17</v>
      </c>
      <c r="K12" s="34"/>
      <c r="L12" s="35" t="s">
        <v>18</v>
      </c>
      <c r="M12" s="36" t="s">
        <v>19</v>
      </c>
      <c r="N12" s="70" t="s">
        <v>197</v>
      </c>
      <c r="O12" s="70" t="s">
        <v>198</v>
      </c>
    </row>
    <row r="13" spans="3:19" ht="15.75" thickBot="1">
      <c r="C13" s="2"/>
      <c r="D13" s="72" t="s">
        <v>199</v>
      </c>
      <c r="E13" s="14">
        <v>0.37</v>
      </c>
      <c r="F13" s="15">
        <v>0.5</v>
      </c>
      <c r="G13" s="14">
        <v>1</v>
      </c>
      <c r="H13" s="15">
        <v>11.5</v>
      </c>
      <c r="I13" s="27" t="s">
        <v>23</v>
      </c>
      <c r="J13" s="28">
        <v>2900</v>
      </c>
      <c r="K13" s="38" t="s">
        <v>24</v>
      </c>
      <c r="L13" s="39">
        <v>23</v>
      </c>
      <c r="M13" s="42">
        <f>0.27*0.27*0.5</f>
        <v>3.6450000000000003E-2</v>
      </c>
      <c r="N13" s="73">
        <v>383.77500000000003</v>
      </c>
      <c r="O13" s="73">
        <v>454.81800000000004</v>
      </c>
      <c r="P13" s="223"/>
      <c r="Q13" s="223"/>
      <c r="R13" s="64"/>
      <c r="S13" s="64"/>
    </row>
    <row r="14" spans="3:19" ht="15.75" thickBot="1">
      <c r="C14" s="2"/>
      <c r="D14" s="72" t="s">
        <v>200</v>
      </c>
      <c r="E14" s="14">
        <v>0.37</v>
      </c>
      <c r="F14" s="15">
        <v>0.5</v>
      </c>
      <c r="G14" s="14">
        <v>1</v>
      </c>
      <c r="H14" s="15">
        <v>17</v>
      </c>
      <c r="I14" s="27" t="s">
        <v>23</v>
      </c>
      <c r="J14" s="28">
        <v>2900</v>
      </c>
      <c r="K14" s="38" t="s">
        <v>26</v>
      </c>
      <c r="L14" s="39">
        <v>23</v>
      </c>
      <c r="M14" s="42">
        <f>0.27*0.27*0.52</f>
        <v>3.7908000000000004E-2</v>
      </c>
      <c r="N14" s="73">
        <v>403.41</v>
      </c>
      <c r="O14" s="73">
        <v>474.45300000000003</v>
      </c>
      <c r="P14" s="223"/>
      <c r="Q14" s="223"/>
      <c r="R14" s="64"/>
      <c r="S14" s="64"/>
    </row>
    <row r="15" spans="3:19" ht="15.75" thickBot="1">
      <c r="C15" s="2"/>
      <c r="D15" s="72" t="s">
        <v>201</v>
      </c>
      <c r="E15" s="14">
        <v>0.37</v>
      </c>
      <c r="F15" s="15">
        <v>0.5</v>
      </c>
      <c r="G15" s="14">
        <v>1</v>
      </c>
      <c r="H15" s="15">
        <v>22.5</v>
      </c>
      <c r="I15" s="27" t="s">
        <v>23</v>
      </c>
      <c r="J15" s="28">
        <v>2900</v>
      </c>
      <c r="K15" s="38" t="s">
        <v>28</v>
      </c>
      <c r="L15" s="39">
        <v>24</v>
      </c>
      <c r="M15" s="42">
        <f>0.27*0.27*0.54</f>
        <v>3.9366000000000005E-2</v>
      </c>
      <c r="N15" s="73">
        <v>423.04500000000002</v>
      </c>
      <c r="O15" s="73">
        <v>494.08800000000002</v>
      </c>
      <c r="P15" s="223"/>
      <c r="Q15" s="223"/>
      <c r="R15" s="64"/>
      <c r="S15" s="64"/>
    </row>
    <row r="16" spans="3:19" ht="15.75" thickBot="1">
      <c r="C16" s="2"/>
      <c r="D16" s="72" t="s">
        <v>202</v>
      </c>
      <c r="E16" s="14">
        <v>0.37</v>
      </c>
      <c r="F16" s="15">
        <v>0.5</v>
      </c>
      <c r="G16" s="14">
        <v>1</v>
      </c>
      <c r="H16" s="15">
        <v>28</v>
      </c>
      <c r="I16" s="27" t="s">
        <v>23</v>
      </c>
      <c r="J16" s="28">
        <v>2900</v>
      </c>
      <c r="K16" s="38" t="s">
        <v>30</v>
      </c>
      <c r="L16" s="39">
        <v>24</v>
      </c>
      <c r="M16" s="42">
        <f>0.27*0.27*0.56</f>
        <v>4.0824000000000006E-2</v>
      </c>
      <c r="N16" s="73">
        <v>441.96600000000001</v>
      </c>
      <c r="O16" s="73">
        <v>513.3660000000001</v>
      </c>
      <c r="P16" s="223"/>
      <c r="Q16" s="223"/>
      <c r="R16" s="64"/>
      <c r="S16" s="64"/>
    </row>
    <row r="17" spans="2:19" ht="15.75" thickBot="1">
      <c r="C17" s="2"/>
      <c r="D17" s="72" t="s">
        <v>203</v>
      </c>
      <c r="E17" s="14">
        <v>0.37</v>
      </c>
      <c r="F17" s="15">
        <v>0.5</v>
      </c>
      <c r="G17" s="14">
        <v>1</v>
      </c>
      <c r="H17" s="15">
        <v>33.5</v>
      </c>
      <c r="I17" s="27" t="s">
        <v>23</v>
      </c>
      <c r="J17" s="28">
        <v>2900</v>
      </c>
      <c r="K17" s="38" t="s">
        <v>32</v>
      </c>
      <c r="L17" s="39">
        <v>25</v>
      </c>
      <c r="M17" s="42">
        <f>0.27*0.27*0.58</f>
        <v>4.2282E-2</v>
      </c>
      <c r="N17" s="73">
        <v>461.24399999999991</v>
      </c>
      <c r="O17" s="73">
        <v>533.00100000000009</v>
      </c>
      <c r="P17" s="223"/>
      <c r="Q17" s="223"/>
      <c r="R17" s="64"/>
      <c r="S17" s="64"/>
    </row>
    <row r="18" spans="2:19" ht="15.75" thickBot="1">
      <c r="C18" s="2"/>
      <c r="D18" s="72" t="s">
        <v>204</v>
      </c>
      <c r="E18" s="14">
        <v>0.37</v>
      </c>
      <c r="F18" s="15">
        <v>0.5</v>
      </c>
      <c r="G18" s="14">
        <v>1</v>
      </c>
      <c r="H18" s="15">
        <v>39</v>
      </c>
      <c r="I18" s="27" t="s">
        <v>23</v>
      </c>
      <c r="J18" s="28">
        <v>2900</v>
      </c>
      <c r="K18" s="38" t="s">
        <v>34</v>
      </c>
      <c r="L18" s="39">
        <v>26</v>
      </c>
      <c r="M18" s="42">
        <f>0.27*0.27*0.59</f>
        <v>4.3011000000000001E-2</v>
      </c>
      <c r="N18" s="73">
        <v>480.87899999999996</v>
      </c>
      <c r="O18" s="73">
        <v>552.63600000000008</v>
      </c>
      <c r="P18" s="223"/>
      <c r="Q18" s="223"/>
      <c r="R18" s="64"/>
      <c r="S18" s="64"/>
    </row>
    <row r="19" spans="2:19" ht="15.75" thickBot="1">
      <c r="C19" s="2"/>
      <c r="D19" s="72" t="s">
        <v>205</v>
      </c>
      <c r="E19" s="14">
        <v>0.55000000000000004</v>
      </c>
      <c r="F19" s="15">
        <v>0.75</v>
      </c>
      <c r="G19" s="14">
        <v>1</v>
      </c>
      <c r="H19" s="15">
        <v>45</v>
      </c>
      <c r="I19" s="27" t="s">
        <v>23</v>
      </c>
      <c r="J19" s="28">
        <v>2900</v>
      </c>
      <c r="K19" s="38" t="s">
        <v>36</v>
      </c>
      <c r="L19" s="39">
        <v>27</v>
      </c>
      <c r="M19" s="42">
        <f>0.27*0.27*0.61</f>
        <v>4.4469000000000002E-2</v>
      </c>
      <c r="N19" s="73">
        <v>559.06200000000001</v>
      </c>
      <c r="O19" s="73">
        <v>630.81899999999996</v>
      </c>
      <c r="P19" s="223"/>
      <c r="Q19" s="223"/>
      <c r="R19" s="64"/>
      <c r="S19" s="64"/>
    </row>
    <row r="20" spans="2:19" ht="15.75" thickBot="1">
      <c r="C20" s="2"/>
      <c r="D20" s="72" t="s">
        <v>206</v>
      </c>
      <c r="E20" s="14">
        <v>0.55000000000000004</v>
      </c>
      <c r="F20" s="15">
        <v>0.75</v>
      </c>
      <c r="G20" s="14">
        <v>1</v>
      </c>
      <c r="H20" s="15">
        <v>51</v>
      </c>
      <c r="I20" s="27" t="s">
        <v>23</v>
      </c>
      <c r="J20" s="28">
        <v>2900</v>
      </c>
      <c r="K20" s="38" t="s">
        <v>38</v>
      </c>
      <c r="L20" s="39">
        <v>28</v>
      </c>
      <c r="M20" s="42">
        <f>0.27*0.27*0.63</f>
        <v>4.5927000000000003E-2</v>
      </c>
      <c r="N20" s="73">
        <v>578.697</v>
      </c>
      <c r="O20" s="73">
        <v>650.45399999999995</v>
      </c>
      <c r="P20" s="223"/>
      <c r="Q20" s="223"/>
      <c r="R20" s="64"/>
      <c r="S20" s="64"/>
    </row>
    <row r="21" spans="2:19" ht="15.75" thickBot="1">
      <c r="C21" s="2"/>
      <c r="D21" s="72" t="s">
        <v>207</v>
      </c>
      <c r="E21" s="14">
        <v>0.55000000000000004</v>
      </c>
      <c r="F21" s="15">
        <v>0.75</v>
      </c>
      <c r="G21" s="14">
        <v>1</v>
      </c>
      <c r="H21" s="15">
        <v>57</v>
      </c>
      <c r="I21" s="27" t="s">
        <v>23</v>
      </c>
      <c r="J21" s="28">
        <v>2900</v>
      </c>
      <c r="K21" s="38" t="s">
        <v>40</v>
      </c>
      <c r="L21" s="39">
        <v>29</v>
      </c>
      <c r="M21" s="42">
        <f>0.27*0.27*0.65</f>
        <v>4.7385000000000004E-2</v>
      </c>
      <c r="N21" s="73">
        <v>598.33199999999999</v>
      </c>
      <c r="O21" s="73">
        <v>670.08899999999994</v>
      </c>
      <c r="P21" s="223"/>
      <c r="Q21" s="223"/>
      <c r="R21" s="64"/>
      <c r="S21" s="64"/>
    </row>
    <row r="22" spans="2:19" ht="15.75" thickBot="1">
      <c r="B22" s="16" t="s">
        <v>197</v>
      </c>
      <c r="C22" s="2"/>
      <c r="D22" s="72" t="s">
        <v>208</v>
      </c>
      <c r="E22" s="14">
        <v>0.55000000000000004</v>
      </c>
      <c r="F22" s="15">
        <v>0.75</v>
      </c>
      <c r="G22" s="14">
        <v>1</v>
      </c>
      <c r="H22" s="15">
        <v>61</v>
      </c>
      <c r="I22" s="27" t="s">
        <v>23</v>
      </c>
      <c r="J22" s="28">
        <v>2900</v>
      </c>
      <c r="K22" s="38" t="s">
        <v>42</v>
      </c>
      <c r="L22" s="39">
        <v>29</v>
      </c>
      <c r="M22" s="42">
        <f>0.27*0.27*0.67</f>
        <v>4.8843000000000004E-2</v>
      </c>
      <c r="N22" s="73">
        <v>617.61</v>
      </c>
      <c r="O22" s="73">
        <v>689.36700000000008</v>
      </c>
      <c r="P22" s="223"/>
      <c r="Q22" s="223"/>
      <c r="R22" s="64"/>
      <c r="S22" s="64"/>
    </row>
    <row r="23" spans="2:19" ht="15.75" thickBot="1">
      <c r="C23" s="2"/>
      <c r="D23" s="72" t="s">
        <v>209</v>
      </c>
      <c r="E23" s="14">
        <v>0.75</v>
      </c>
      <c r="F23" s="15">
        <v>1</v>
      </c>
      <c r="G23" s="14">
        <v>1</v>
      </c>
      <c r="H23" s="15">
        <v>67</v>
      </c>
      <c r="I23" s="27" t="s">
        <v>23</v>
      </c>
      <c r="J23" s="28">
        <v>2900</v>
      </c>
      <c r="K23" s="38" t="s">
        <v>44</v>
      </c>
      <c r="L23" s="39">
        <v>33</v>
      </c>
      <c r="M23" s="42">
        <f>0.29*0.27*0.71</f>
        <v>5.5592999999999997E-2</v>
      </c>
      <c r="N23" s="73">
        <v>670.08899999999994</v>
      </c>
      <c r="O23" s="73">
        <v>740.77499999999998</v>
      </c>
      <c r="P23" s="223"/>
      <c r="Q23" s="223"/>
      <c r="R23" s="64"/>
      <c r="S23" s="64"/>
    </row>
    <row r="24" spans="2:19" ht="15.75" thickBot="1">
      <c r="C24" s="16"/>
      <c r="D24" s="72" t="s">
        <v>210</v>
      </c>
      <c r="E24" s="14">
        <v>0.75</v>
      </c>
      <c r="F24" s="15">
        <v>1</v>
      </c>
      <c r="G24" s="14">
        <v>1</v>
      </c>
      <c r="H24" s="15">
        <v>73</v>
      </c>
      <c r="I24" s="27" t="s">
        <v>23</v>
      </c>
      <c r="J24" s="28">
        <v>2900</v>
      </c>
      <c r="K24" s="38" t="s">
        <v>46</v>
      </c>
      <c r="L24" s="39">
        <v>34</v>
      </c>
      <c r="M24" s="42">
        <f>0.29*0.27*0.73</f>
        <v>5.7158999999999995E-2</v>
      </c>
      <c r="N24" s="73">
        <v>689.36700000000008</v>
      </c>
      <c r="O24" s="73">
        <v>760.41</v>
      </c>
      <c r="P24" s="223"/>
      <c r="Q24" s="223"/>
      <c r="R24" s="64"/>
      <c r="S24" s="64"/>
    </row>
    <row r="25" spans="2:19" ht="15.75" thickBot="1">
      <c r="C25" s="2"/>
      <c r="D25" s="72" t="s">
        <v>211</v>
      </c>
      <c r="E25" s="14">
        <v>0.75</v>
      </c>
      <c r="F25" s="15">
        <v>1</v>
      </c>
      <c r="G25" s="14">
        <v>1</v>
      </c>
      <c r="H25" s="15">
        <v>84</v>
      </c>
      <c r="I25" s="27" t="s">
        <v>23</v>
      </c>
      <c r="J25" s="28">
        <v>2900</v>
      </c>
      <c r="K25" s="38" t="s">
        <v>48</v>
      </c>
      <c r="L25" s="39">
        <v>35</v>
      </c>
      <c r="M25" s="42">
        <f>0.29*0.27*0.77</f>
        <v>6.0290999999999997E-2</v>
      </c>
      <c r="N25" s="73">
        <v>728.63700000000006</v>
      </c>
      <c r="O25" s="73">
        <v>799.68000000000006</v>
      </c>
      <c r="P25" s="223"/>
      <c r="Q25" s="223"/>
      <c r="R25" s="64"/>
      <c r="S25" s="64"/>
    </row>
    <row r="26" spans="2:19" ht="15.75" thickBot="1">
      <c r="C26" s="2"/>
      <c r="D26" s="72" t="s">
        <v>212</v>
      </c>
      <c r="E26" s="14">
        <v>1.1000000000000001</v>
      </c>
      <c r="F26" s="15">
        <v>1.5</v>
      </c>
      <c r="G26" s="14">
        <v>1</v>
      </c>
      <c r="H26" s="15">
        <v>95</v>
      </c>
      <c r="I26" s="27" t="s">
        <v>23</v>
      </c>
      <c r="J26" s="28">
        <v>2900</v>
      </c>
      <c r="K26" s="38" t="s">
        <v>50</v>
      </c>
      <c r="L26" s="39">
        <v>37</v>
      </c>
      <c r="M26" s="42">
        <f>0.29*0.27*0.8</f>
        <v>6.2640000000000001E-2</v>
      </c>
      <c r="N26" s="73">
        <v>819.31500000000005</v>
      </c>
      <c r="O26" s="73">
        <v>890.71500000000003</v>
      </c>
      <c r="P26" s="223"/>
      <c r="Q26" s="223"/>
      <c r="R26" s="64"/>
      <c r="S26" s="64"/>
    </row>
    <row r="27" spans="2:19" ht="15.75" thickBot="1">
      <c r="C27" s="2"/>
      <c r="D27" s="72" t="s">
        <v>213</v>
      </c>
      <c r="E27" s="14">
        <v>1.1000000000000001</v>
      </c>
      <c r="F27" s="15">
        <v>1.5</v>
      </c>
      <c r="G27" s="14">
        <v>1</v>
      </c>
      <c r="H27" s="15">
        <v>106</v>
      </c>
      <c r="I27" s="27" t="s">
        <v>23</v>
      </c>
      <c r="J27" s="28">
        <v>2900</v>
      </c>
      <c r="K27" s="38" t="s">
        <v>52</v>
      </c>
      <c r="L27" s="39">
        <v>39</v>
      </c>
      <c r="M27" s="42">
        <f>0.29*0.27*0.84</f>
        <v>6.5771999999999997E-2</v>
      </c>
      <c r="N27" s="73">
        <v>858.22799999999995</v>
      </c>
      <c r="O27" s="73">
        <v>929.98500000000001</v>
      </c>
      <c r="P27" s="223"/>
      <c r="Q27" s="223"/>
      <c r="R27" s="64"/>
      <c r="S27" s="64"/>
    </row>
    <row r="28" spans="2:19" ht="15.75" thickBot="1">
      <c r="C28" s="2"/>
      <c r="D28" s="72" t="s">
        <v>214</v>
      </c>
      <c r="E28" s="14">
        <v>1.1000000000000001</v>
      </c>
      <c r="F28" s="15">
        <v>1.5</v>
      </c>
      <c r="G28" s="14">
        <v>1</v>
      </c>
      <c r="H28" s="15">
        <v>117</v>
      </c>
      <c r="I28" s="27" t="s">
        <v>23</v>
      </c>
      <c r="J28" s="28">
        <v>2900</v>
      </c>
      <c r="K28" s="38" t="s">
        <v>54</v>
      </c>
      <c r="L28" s="39">
        <v>40</v>
      </c>
      <c r="M28" s="42">
        <f>0.29*0.27*0.88</f>
        <v>6.8903999999999993E-2</v>
      </c>
      <c r="N28" s="73">
        <v>896.78399999999999</v>
      </c>
      <c r="O28" s="73">
        <v>968.89799999999991</v>
      </c>
      <c r="P28" s="223"/>
      <c r="Q28" s="223"/>
      <c r="R28" s="64"/>
      <c r="S28" s="64"/>
    </row>
    <row r="29" spans="2:19" ht="15.75" thickBot="1">
      <c r="C29" s="2"/>
      <c r="D29" s="72" t="s">
        <v>215</v>
      </c>
      <c r="E29" s="14">
        <v>1.1000000000000001</v>
      </c>
      <c r="F29" s="15">
        <v>1.5</v>
      </c>
      <c r="G29" s="14">
        <v>1</v>
      </c>
      <c r="H29" s="15">
        <v>128</v>
      </c>
      <c r="I29" s="27" t="s">
        <v>23</v>
      </c>
      <c r="J29" s="28">
        <v>2900</v>
      </c>
      <c r="K29" s="38" t="s">
        <v>58</v>
      </c>
      <c r="L29" s="39">
        <v>41</v>
      </c>
      <c r="M29" s="42">
        <f>0.29*0.27*0.91</f>
        <v>7.1252999999999997E-2</v>
      </c>
      <c r="N29" s="73">
        <v>935.69700000000012</v>
      </c>
      <c r="O29" s="73">
        <v>1008.1679999999999</v>
      </c>
      <c r="P29" s="223"/>
      <c r="Q29" s="223"/>
      <c r="R29" s="64"/>
      <c r="S29" s="64"/>
    </row>
    <row r="30" spans="2:19" ht="15.75" thickBot="1">
      <c r="C30" s="2"/>
      <c r="D30" s="72" t="s">
        <v>216</v>
      </c>
      <c r="E30" s="14">
        <v>1.5</v>
      </c>
      <c r="F30" s="15">
        <v>2</v>
      </c>
      <c r="G30" s="14">
        <v>1</v>
      </c>
      <c r="H30" s="15">
        <v>139</v>
      </c>
      <c r="I30" s="27" t="s">
        <v>23</v>
      </c>
      <c r="J30" s="28">
        <v>2900</v>
      </c>
      <c r="K30" s="38" t="s">
        <v>60</v>
      </c>
      <c r="L30" s="39">
        <v>48</v>
      </c>
      <c r="M30" s="42">
        <f>0.3*0.27*1</f>
        <v>8.1000000000000003E-2</v>
      </c>
      <c r="N30" s="73">
        <v>1008.1679999999999</v>
      </c>
      <c r="O30" s="73">
        <v>1079.211</v>
      </c>
      <c r="P30" s="223"/>
      <c r="Q30" s="223"/>
      <c r="R30" s="64"/>
      <c r="S30" s="64"/>
    </row>
    <row r="31" spans="2:19" ht="15.75" thickBot="1">
      <c r="C31" s="2"/>
      <c r="D31" s="72" t="s">
        <v>217</v>
      </c>
      <c r="E31" s="14">
        <v>1.5</v>
      </c>
      <c r="F31" s="15">
        <v>2</v>
      </c>
      <c r="G31" s="14">
        <v>1</v>
      </c>
      <c r="H31" s="15">
        <v>150</v>
      </c>
      <c r="I31" s="27" t="s">
        <v>23</v>
      </c>
      <c r="J31" s="28">
        <v>2900</v>
      </c>
      <c r="K31" s="38" t="s">
        <v>62</v>
      </c>
      <c r="L31" s="39">
        <v>49</v>
      </c>
      <c r="M31" s="42">
        <f>0.3*0.27*1.04</f>
        <v>8.4240000000000009E-2</v>
      </c>
      <c r="N31" s="73">
        <v>1046.7240000000002</v>
      </c>
      <c r="O31" s="73">
        <v>1118.124</v>
      </c>
      <c r="P31" s="223"/>
      <c r="Q31" s="223"/>
      <c r="R31" s="64"/>
      <c r="S31" s="64"/>
    </row>
    <row r="32" spans="2:19" ht="15.75" thickBot="1">
      <c r="C32" s="2"/>
      <c r="D32" s="72" t="s">
        <v>218</v>
      </c>
      <c r="E32" s="14">
        <v>1.5</v>
      </c>
      <c r="F32" s="15">
        <v>2</v>
      </c>
      <c r="G32" s="14">
        <v>1</v>
      </c>
      <c r="H32" s="15">
        <v>166</v>
      </c>
      <c r="I32" s="27" t="s">
        <v>23</v>
      </c>
      <c r="J32" s="28">
        <v>2900</v>
      </c>
      <c r="K32" s="38" t="s">
        <v>64</v>
      </c>
      <c r="L32" s="39">
        <v>51</v>
      </c>
      <c r="M32" s="42">
        <f>0.3*0.27*1.09</f>
        <v>8.8290000000000007E-2</v>
      </c>
      <c r="N32" s="73">
        <v>1105.2720000000002</v>
      </c>
      <c r="O32" s="73">
        <v>1176.3150000000001</v>
      </c>
      <c r="P32" s="223"/>
      <c r="Q32" s="223"/>
      <c r="R32" s="64"/>
      <c r="S32" s="64"/>
    </row>
    <row r="33" spans="2:19" ht="15.75" thickBot="1">
      <c r="C33" s="2"/>
      <c r="D33" s="72" t="s">
        <v>219</v>
      </c>
      <c r="E33" s="14">
        <v>2.2000000000000002</v>
      </c>
      <c r="F33" s="15">
        <v>3</v>
      </c>
      <c r="G33" s="14">
        <v>1</v>
      </c>
      <c r="H33" s="15">
        <v>183</v>
      </c>
      <c r="I33" s="27" t="s">
        <v>23</v>
      </c>
      <c r="J33" s="28">
        <v>2900</v>
      </c>
      <c r="K33" s="38" t="s">
        <v>67</v>
      </c>
      <c r="L33" s="39">
        <v>56</v>
      </c>
      <c r="M33" s="42">
        <f>0.3*0.27*1.15</f>
        <v>9.3149999999999997E-2</v>
      </c>
      <c r="N33" s="73">
        <v>1300.194</v>
      </c>
      <c r="O33" s="73">
        <v>1371.5940000000001</v>
      </c>
      <c r="P33" s="223"/>
      <c r="Q33" s="223"/>
      <c r="R33" s="64"/>
      <c r="S33" s="64"/>
    </row>
    <row r="34" spans="2:19" ht="15.75" thickBot="1">
      <c r="C34" s="2"/>
      <c r="D34" s="72" t="s">
        <v>220</v>
      </c>
      <c r="E34" s="14">
        <v>2.2000000000000002</v>
      </c>
      <c r="F34" s="15">
        <v>3</v>
      </c>
      <c r="G34" s="14">
        <v>1</v>
      </c>
      <c r="H34" s="15">
        <v>200</v>
      </c>
      <c r="I34" s="27" t="s">
        <v>23</v>
      </c>
      <c r="J34" s="28">
        <v>2900</v>
      </c>
      <c r="K34" s="38" t="s">
        <v>70</v>
      </c>
      <c r="L34" s="39">
        <v>58</v>
      </c>
      <c r="M34" s="42">
        <f>0.3*0.27*1.2</f>
        <v>9.7199999999999995E-2</v>
      </c>
      <c r="N34" s="73">
        <v>1358.7420000000002</v>
      </c>
      <c r="O34" s="73">
        <v>1430.499</v>
      </c>
      <c r="P34" s="223"/>
      <c r="Q34" s="223"/>
      <c r="R34" s="64"/>
      <c r="S34" s="64"/>
    </row>
    <row r="35" spans="2:19" ht="15.75" thickBot="1">
      <c r="C35" s="2"/>
      <c r="D35" s="72" t="s">
        <v>221</v>
      </c>
      <c r="E35" s="14">
        <v>0.37</v>
      </c>
      <c r="F35" s="15">
        <v>0.5</v>
      </c>
      <c r="G35" s="14">
        <v>2</v>
      </c>
      <c r="H35" s="15">
        <v>15</v>
      </c>
      <c r="I35" s="27" t="s">
        <v>23</v>
      </c>
      <c r="J35" s="28">
        <v>2900</v>
      </c>
      <c r="K35" s="38" t="s">
        <v>24</v>
      </c>
      <c r="L35" s="39">
        <v>23</v>
      </c>
      <c r="M35" s="42">
        <f>0.27*0.27*0.5</f>
        <v>3.6450000000000003E-2</v>
      </c>
      <c r="N35" s="73">
        <v>471.95399999999995</v>
      </c>
      <c r="O35" s="73">
        <v>572.27100000000007</v>
      </c>
      <c r="P35" s="223"/>
      <c r="Q35" s="223"/>
      <c r="R35" s="64"/>
      <c r="S35" s="64"/>
    </row>
    <row r="36" spans="2:19" ht="15.75" thickBot="1">
      <c r="C36" s="2"/>
      <c r="D36" s="72" t="s">
        <v>222</v>
      </c>
      <c r="E36" s="14">
        <v>0.37</v>
      </c>
      <c r="F36" s="15">
        <v>0.5</v>
      </c>
      <c r="G36" s="14">
        <v>2</v>
      </c>
      <c r="H36" s="15">
        <v>22</v>
      </c>
      <c r="I36" s="27" t="s">
        <v>23</v>
      </c>
      <c r="J36" s="28">
        <v>2900</v>
      </c>
      <c r="K36" s="38" t="s">
        <v>26</v>
      </c>
      <c r="L36" s="39">
        <v>23</v>
      </c>
      <c r="M36" s="42">
        <f>0.27*0.27*0.52</f>
        <v>3.7908000000000004E-2</v>
      </c>
      <c r="N36" s="73">
        <v>480.87899999999996</v>
      </c>
      <c r="O36" s="73">
        <v>581.91</v>
      </c>
      <c r="P36" s="223"/>
      <c r="Q36" s="223"/>
      <c r="R36" s="64"/>
      <c r="S36" s="64"/>
    </row>
    <row r="37" spans="2:19" ht="15.75" thickBot="1">
      <c r="C37" s="2"/>
      <c r="D37" s="72" t="s">
        <v>223</v>
      </c>
      <c r="E37" s="14">
        <v>0.55000000000000004</v>
      </c>
      <c r="F37" s="15">
        <v>0.75</v>
      </c>
      <c r="G37" s="14">
        <v>2</v>
      </c>
      <c r="H37" s="15">
        <v>30</v>
      </c>
      <c r="I37" s="27" t="s">
        <v>23</v>
      </c>
      <c r="J37" s="28">
        <v>2900</v>
      </c>
      <c r="K37" s="38" t="s">
        <v>28</v>
      </c>
      <c r="L37" s="39">
        <v>25</v>
      </c>
      <c r="M37" s="42">
        <f>0.27*0.27*0.54</f>
        <v>3.9366000000000005E-2</v>
      </c>
      <c r="N37" s="73">
        <v>498.01499999999999</v>
      </c>
      <c r="O37" s="73">
        <v>598.33199999999999</v>
      </c>
      <c r="P37" s="223"/>
      <c r="Q37" s="223"/>
      <c r="R37" s="64"/>
      <c r="S37" s="64"/>
    </row>
    <row r="38" spans="2:19" ht="15.75" thickBot="1">
      <c r="C38" s="2"/>
      <c r="D38" s="72" t="s">
        <v>224</v>
      </c>
      <c r="E38" s="14">
        <v>0.55000000000000004</v>
      </c>
      <c r="F38" s="15">
        <v>0.75</v>
      </c>
      <c r="G38" s="14">
        <v>2</v>
      </c>
      <c r="H38" s="15">
        <v>37</v>
      </c>
      <c r="I38" s="27" t="s">
        <v>23</v>
      </c>
      <c r="J38" s="28">
        <v>2900</v>
      </c>
      <c r="K38" s="38" t="s">
        <v>30</v>
      </c>
      <c r="L38" s="39">
        <v>26</v>
      </c>
      <c r="M38" s="42">
        <f>0.27*0.27*0.56</f>
        <v>4.0824000000000006E-2</v>
      </c>
      <c r="N38" s="73">
        <v>506.94</v>
      </c>
      <c r="O38" s="73">
        <v>608.68500000000006</v>
      </c>
      <c r="P38" s="223"/>
      <c r="Q38" s="223"/>
      <c r="R38" s="64"/>
      <c r="S38" s="64"/>
    </row>
    <row r="39" spans="2:19" ht="15.75" thickBot="1">
      <c r="B39" s="16" t="s">
        <v>198</v>
      </c>
      <c r="C39" s="2"/>
      <c r="D39" s="72" t="s">
        <v>225</v>
      </c>
      <c r="E39" s="14">
        <v>0.75</v>
      </c>
      <c r="F39" s="15">
        <v>1</v>
      </c>
      <c r="G39" s="14">
        <v>2</v>
      </c>
      <c r="H39" s="15">
        <v>45</v>
      </c>
      <c r="I39" s="27" t="s">
        <v>23</v>
      </c>
      <c r="J39" s="28">
        <v>2900</v>
      </c>
      <c r="K39" s="38" t="s">
        <v>32</v>
      </c>
      <c r="L39" s="39">
        <v>29</v>
      </c>
      <c r="M39" s="42">
        <f>0.29*0.27*0.61</f>
        <v>4.7762999999999993E-2</v>
      </c>
      <c r="N39" s="73">
        <v>530.50200000000007</v>
      </c>
      <c r="O39" s="73">
        <v>630.81899999999996</v>
      </c>
      <c r="P39" s="223"/>
      <c r="Q39" s="223"/>
      <c r="R39" s="64"/>
      <c r="S39" s="64"/>
    </row>
    <row r="40" spans="2:19" ht="15.75" thickBot="1">
      <c r="C40" s="2"/>
      <c r="D40" s="72" t="s">
        <v>226</v>
      </c>
      <c r="E40" s="14">
        <v>0.75</v>
      </c>
      <c r="F40" s="15">
        <v>1</v>
      </c>
      <c r="G40" s="14">
        <v>2</v>
      </c>
      <c r="H40" s="15">
        <v>52</v>
      </c>
      <c r="I40" s="27" t="s">
        <v>23</v>
      </c>
      <c r="J40" s="28">
        <v>2900</v>
      </c>
      <c r="K40" s="38" t="s">
        <v>34</v>
      </c>
      <c r="L40" s="39">
        <v>29</v>
      </c>
      <c r="M40" s="42">
        <f>0.29*0.27*0.62</f>
        <v>4.8545999999999999E-2</v>
      </c>
      <c r="N40" s="73">
        <v>543.35399999999993</v>
      </c>
      <c r="O40" s="73">
        <v>643.67100000000005</v>
      </c>
      <c r="P40" s="223"/>
      <c r="Q40" s="223"/>
      <c r="R40" s="64"/>
      <c r="S40" s="64"/>
    </row>
    <row r="41" spans="2:19" ht="15.75" thickBot="1">
      <c r="C41" s="16"/>
      <c r="D41" s="72" t="s">
        <v>227</v>
      </c>
      <c r="E41" s="14">
        <v>1.1000000000000001</v>
      </c>
      <c r="F41" s="15">
        <v>1.5</v>
      </c>
      <c r="G41" s="14">
        <v>2</v>
      </c>
      <c r="H41" s="15">
        <v>67</v>
      </c>
      <c r="I41" s="27" t="s">
        <v>23</v>
      </c>
      <c r="J41" s="28">
        <v>2900</v>
      </c>
      <c r="K41" s="38" t="s">
        <v>38</v>
      </c>
      <c r="L41" s="39">
        <v>32</v>
      </c>
      <c r="M41" s="42">
        <f>0.29*0.27*0.66</f>
        <v>5.1678000000000002E-2</v>
      </c>
      <c r="N41" s="73">
        <v>675.80100000000004</v>
      </c>
      <c r="O41" s="73">
        <v>796.82399999999996</v>
      </c>
      <c r="P41" s="223"/>
      <c r="Q41" s="223"/>
      <c r="R41" s="64"/>
      <c r="S41" s="64"/>
    </row>
    <row r="42" spans="2:19" ht="15.75" thickBot="1">
      <c r="C42" s="2"/>
      <c r="D42" s="72" t="s">
        <v>228</v>
      </c>
      <c r="E42" s="14">
        <v>1.1000000000000001</v>
      </c>
      <c r="F42" s="15">
        <v>1.5</v>
      </c>
      <c r="G42" s="14">
        <v>2</v>
      </c>
      <c r="H42" s="15">
        <v>82</v>
      </c>
      <c r="I42" s="27" t="s">
        <v>23</v>
      </c>
      <c r="J42" s="28">
        <v>2900</v>
      </c>
      <c r="K42" s="38" t="s">
        <v>42</v>
      </c>
      <c r="L42" s="39">
        <v>33</v>
      </c>
      <c r="M42" s="42">
        <f>0.29*0.27*0.7</f>
        <v>5.4809999999999991E-2</v>
      </c>
      <c r="N42" s="73">
        <v>703.64700000000005</v>
      </c>
      <c r="O42" s="73">
        <v>823.59899999999993</v>
      </c>
      <c r="P42" s="223"/>
      <c r="Q42" s="223"/>
      <c r="R42" s="64"/>
      <c r="S42" s="64"/>
    </row>
    <row r="43" spans="2:19" ht="15.75" thickBot="1">
      <c r="C43" s="2"/>
      <c r="D43" s="72" t="s">
        <v>229</v>
      </c>
      <c r="E43" s="14">
        <v>1.5</v>
      </c>
      <c r="F43" s="15">
        <v>2</v>
      </c>
      <c r="G43" s="14">
        <v>2</v>
      </c>
      <c r="H43" s="15">
        <v>98</v>
      </c>
      <c r="I43" s="27" t="s">
        <v>23</v>
      </c>
      <c r="J43" s="28">
        <v>2900</v>
      </c>
      <c r="K43" s="38" t="s">
        <v>46</v>
      </c>
      <c r="L43" s="39">
        <v>39</v>
      </c>
      <c r="M43" s="42">
        <f>0.3*0.27*0.79</f>
        <v>6.3990000000000005E-2</v>
      </c>
      <c r="N43" s="73">
        <v>795.03899999999999</v>
      </c>
      <c r="O43" s="73">
        <v>915.70500000000004</v>
      </c>
      <c r="P43" s="223"/>
      <c r="Q43" s="223"/>
      <c r="R43" s="64"/>
      <c r="S43" s="64"/>
    </row>
    <row r="44" spans="2:19" ht="15.75" thickBot="1">
      <c r="C44" s="2"/>
      <c r="D44" s="72" t="s">
        <v>230</v>
      </c>
      <c r="E44" s="14">
        <v>1.5</v>
      </c>
      <c r="F44" s="15">
        <v>2</v>
      </c>
      <c r="G44" s="14">
        <v>2</v>
      </c>
      <c r="H44" s="15">
        <v>112</v>
      </c>
      <c r="I44" s="27" t="s">
        <v>23</v>
      </c>
      <c r="J44" s="28">
        <v>2900</v>
      </c>
      <c r="K44" s="38" t="s">
        <v>48</v>
      </c>
      <c r="L44" s="39">
        <v>41</v>
      </c>
      <c r="M44" s="42">
        <f>0.3*0.27*0.82</f>
        <v>6.6419999999999993E-2</v>
      </c>
      <c r="N44" s="73">
        <v>822.52800000000002</v>
      </c>
      <c r="O44" s="73">
        <v>942.8370000000001</v>
      </c>
      <c r="P44" s="223"/>
      <c r="Q44" s="223"/>
      <c r="R44" s="64"/>
      <c r="S44" s="64"/>
    </row>
    <row r="45" spans="2:19" ht="15.75" thickBot="1">
      <c r="C45" s="2"/>
      <c r="D45" s="72" t="s">
        <v>231</v>
      </c>
      <c r="E45" s="14">
        <v>2.2000000000000002</v>
      </c>
      <c r="F45" s="15">
        <v>3</v>
      </c>
      <c r="G45" s="14">
        <v>2</v>
      </c>
      <c r="H45" s="15">
        <v>136</v>
      </c>
      <c r="I45" s="27" t="s">
        <v>23</v>
      </c>
      <c r="J45" s="28">
        <v>2900</v>
      </c>
      <c r="K45" s="38" t="s">
        <v>91</v>
      </c>
      <c r="L45" s="39">
        <v>46</v>
      </c>
      <c r="M45" s="42">
        <f>0.3*0.27*0.88</f>
        <v>7.1279999999999996E-2</v>
      </c>
      <c r="N45" s="73">
        <v>894.64200000000005</v>
      </c>
      <c r="O45" s="73">
        <v>1013.88</v>
      </c>
      <c r="P45" s="223"/>
      <c r="Q45" s="223"/>
      <c r="R45" s="64"/>
      <c r="S45" s="64"/>
    </row>
    <row r="46" spans="2:19" ht="15.75" thickBot="1">
      <c r="C46" s="2"/>
      <c r="D46" s="72" t="s">
        <v>232</v>
      </c>
      <c r="E46" s="14">
        <v>2.2000000000000002</v>
      </c>
      <c r="F46" s="15">
        <v>3</v>
      </c>
      <c r="G46" s="14">
        <v>2</v>
      </c>
      <c r="H46" s="15">
        <v>165</v>
      </c>
      <c r="I46" s="27" t="s">
        <v>23</v>
      </c>
      <c r="J46" s="28">
        <v>2900</v>
      </c>
      <c r="K46" s="38" t="s">
        <v>56</v>
      </c>
      <c r="L46" s="39">
        <v>47</v>
      </c>
      <c r="M46" s="42">
        <f>0.3*0.27*0.95</f>
        <v>7.6950000000000005E-2</v>
      </c>
      <c r="N46" s="73">
        <v>949.62</v>
      </c>
      <c r="O46" s="73">
        <v>1069.9290000000001</v>
      </c>
      <c r="P46" s="223"/>
      <c r="Q46" s="223"/>
      <c r="R46" s="64"/>
      <c r="S46" s="64"/>
    </row>
    <row r="47" spans="2:19" ht="15.75" thickBot="1">
      <c r="C47" s="2"/>
      <c r="D47" s="72" t="s">
        <v>233</v>
      </c>
      <c r="E47" s="14">
        <v>3</v>
      </c>
      <c r="F47" s="15">
        <v>4</v>
      </c>
      <c r="G47" s="14">
        <v>2</v>
      </c>
      <c r="H47" s="15">
        <v>198</v>
      </c>
      <c r="I47" s="27" t="s">
        <v>23</v>
      </c>
      <c r="J47" s="28">
        <v>2900</v>
      </c>
      <c r="K47" s="38" t="s">
        <v>234</v>
      </c>
      <c r="L47" s="39">
        <v>58</v>
      </c>
      <c r="M47" s="42">
        <f>0.31*0.27*1.09</f>
        <v>9.1233000000000022E-2</v>
      </c>
      <c r="N47" s="73">
        <v>1118.124</v>
      </c>
      <c r="O47" s="73">
        <v>1238.79</v>
      </c>
      <c r="P47" s="223"/>
      <c r="Q47" s="223"/>
      <c r="R47" s="64"/>
      <c r="S47" s="64"/>
    </row>
    <row r="48" spans="2:19" ht="15.75" thickBot="1">
      <c r="C48" s="2"/>
      <c r="D48" s="72" t="s">
        <v>235</v>
      </c>
      <c r="E48" s="14">
        <v>0.37</v>
      </c>
      <c r="F48" s="15">
        <v>0.5</v>
      </c>
      <c r="G48" s="14">
        <v>3</v>
      </c>
      <c r="H48" s="15">
        <v>9</v>
      </c>
      <c r="I48" s="27" t="s">
        <v>23</v>
      </c>
      <c r="J48" s="28">
        <v>2900</v>
      </c>
      <c r="K48" s="38" t="s">
        <v>24</v>
      </c>
      <c r="L48" s="39">
        <v>23</v>
      </c>
      <c r="M48" s="42">
        <f>0.27*0.27*0.5</f>
        <v>3.6450000000000003E-2</v>
      </c>
      <c r="N48" s="73">
        <v>409.83600000000001</v>
      </c>
      <c r="O48" s="73">
        <v>480.87899999999996</v>
      </c>
      <c r="P48" s="223"/>
      <c r="Q48" s="223"/>
      <c r="R48" s="64"/>
      <c r="S48" s="64"/>
    </row>
    <row r="49" spans="3:19" ht="15.75" thickBot="1">
      <c r="C49" s="2"/>
      <c r="D49" s="72" t="s">
        <v>236</v>
      </c>
      <c r="E49" s="14">
        <v>0.37</v>
      </c>
      <c r="F49" s="15">
        <v>0.5</v>
      </c>
      <c r="G49" s="14">
        <v>3</v>
      </c>
      <c r="H49" s="15">
        <v>14</v>
      </c>
      <c r="I49" s="27" t="s">
        <v>23</v>
      </c>
      <c r="J49" s="28">
        <v>2900</v>
      </c>
      <c r="K49" s="38" t="s">
        <v>26</v>
      </c>
      <c r="L49" s="39">
        <v>23</v>
      </c>
      <c r="M49" s="42">
        <f>0.27*0.27*0.52</f>
        <v>3.7908000000000004E-2</v>
      </c>
      <c r="N49" s="73">
        <v>429.471</v>
      </c>
      <c r="O49" s="73">
        <v>500.51399999999995</v>
      </c>
      <c r="P49" s="223"/>
      <c r="Q49" s="223"/>
      <c r="R49" s="64"/>
      <c r="S49" s="64"/>
    </row>
    <row r="50" spans="3:19" ht="15.75" thickBot="1">
      <c r="C50" s="2"/>
      <c r="D50" s="72" t="s">
        <v>237</v>
      </c>
      <c r="E50" s="14">
        <v>0.37</v>
      </c>
      <c r="F50" s="15">
        <v>0.5</v>
      </c>
      <c r="G50" s="14">
        <v>3</v>
      </c>
      <c r="H50" s="15">
        <v>19</v>
      </c>
      <c r="I50" s="27" t="s">
        <v>23</v>
      </c>
      <c r="J50" s="28">
        <v>2900</v>
      </c>
      <c r="K50" s="38" t="s">
        <v>28</v>
      </c>
      <c r="L50" s="39">
        <v>24</v>
      </c>
      <c r="M50" s="42">
        <f>0.27*0.27*0.54</f>
        <v>3.9366000000000005E-2</v>
      </c>
      <c r="N50" s="73">
        <v>449.10599999999999</v>
      </c>
      <c r="O50" s="73">
        <v>520.14899999999989</v>
      </c>
      <c r="P50" s="223"/>
      <c r="Q50" s="223"/>
      <c r="R50" s="64"/>
      <c r="S50" s="64"/>
    </row>
    <row r="51" spans="3:19" ht="15.75" thickBot="1">
      <c r="C51" s="2"/>
      <c r="D51" s="72" t="s">
        <v>238</v>
      </c>
      <c r="E51" s="14">
        <v>0.37</v>
      </c>
      <c r="F51" s="15">
        <v>0.5</v>
      </c>
      <c r="G51" s="14">
        <v>3</v>
      </c>
      <c r="H51" s="15">
        <v>23</v>
      </c>
      <c r="I51" s="27" t="s">
        <v>23</v>
      </c>
      <c r="J51" s="28">
        <v>2900</v>
      </c>
      <c r="K51" s="38" t="s">
        <v>30</v>
      </c>
      <c r="L51" s="39">
        <v>24</v>
      </c>
      <c r="M51" s="42">
        <f>0.27*0.27*0.56</f>
        <v>4.0824000000000006E-2</v>
      </c>
      <c r="N51" s="73">
        <v>467.31300000000005</v>
      </c>
      <c r="O51" s="73">
        <v>539.42700000000002</v>
      </c>
      <c r="P51" s="223"/>
      <c r="Q51" s="223"/>
      <c r="R51" s="64"/>
      <c r="S51" s="64"/>
    </row>
    <row r="52" spans="3:19" ht="15.75" thickBot="1">
      <c r="C52" s="2"/>
      <c r="D52" s="72" t="s">
        <v>239</v>
      </c>
      <c r="E52" s="14">
        <v>0.55000000000000004</v>
      </c>
      <c r="F52" s="15">
        <v>0.75</v>
      </c>
      <c r="G52" s="14">
        <v>3</v>
      </c>
      <c r="H52" s="15">
        <v>28</v>
      </c>
      <c r="I52" s="27" t="s">
        <v>23</v>
      </c>
      <c r="J52" s="28">
        <v>2900</v>
      </c>
      <c r="K52" s="38" t="s">
        <v>32</v>
      </c>
      <c r="L52" s="39">
        <v>26</v>
      </c>
      <c r="M52" s="42">
        <f>0.27*0.27*0.58</f>
        <v>4.2282E-2</v>
      </c>
      <c r="N52" s="73">
        <v>526.57500000000005</v>
      </c>
      <c r="O52" s="73">
        <v>598.33199999999999</v>
      </c>
      <c r="P52" s="223"/>
      <c r="Q52" s="223"/>
      <c r="R52" s="64"/>
      <c r="S52" s="64"/>
    </row>
    <row r="53" spans="3:19" ht="15.75" thickBot="1">
      <c r="C53" s="2"/>
      <c r="D53" s="72" t="s">
        <v>240</v>
      </c>
      <c r="E53" s="14">
        <v>0.55000000000000004</v>
      </c>
      <c r="F53" s="15">
        <v>0.75</v>
      </c>
      <c r="G53" s="14">
        <v>3</v>
      </c>
      <c r="H53" s="15">
        <v>32</v>
      </c>
      <c r="I53" s="27" t="s">
        <v>23</v>
      </c>
      <c r="J53" s="28">
        <v>2900</v>
      </c>
      <c r="K53" s="38" t="s">
        <v>34</v>
      </c>
      <c r="L53" s="39">
        <v>27</v>
      </c>
      <c r="M53" s="42">
        <f>0.27*0.27*0.59</f>
        <v>4.3011000000000001E-2</v>
      </c>
      <c r="N53" s="73">
        <v>546.21</v>
      </c>
      <c r="O53" s="73">
        <v>617.61</v>
      </c>
      <c r="P53" s="223"/>
      <c r="Q53" s="223"/>
      <c r="R53" s="64"/>
      <c r="S53" s="64"/>
    </row>
    <row r="54" spans="3:19" ht="15.75" thickBot="1">
      <c r="C54" s="2"/>
      <c r="D54" s="72" t="s">
        <v>241</v>
      </c>
      <c r="E54" s="14">
        <v>0.75</v>
      </c>
      <c r="F54" s="15">
        <v>1</v>
      </c>
      <c r="G54" s="14">
        <v>3</v>
      </c>
      <c r="H54" s="15">
        <v>37</v>
      </c>
      <c r="I54" s="27" t="s">
        <v>23</v>
      </c>
      <c r="J54" s="28">
        <v>2900</v>
      </c>
      <c r="K54" s="38" t="s">
        <v>36</v>
      </c>
      <c r="L54" s="39">
        <v>31</v>
      </c>
      <c r="M54" s="42">
        <f>0.29*0.27*0.64</f>
        <v>5.0111999999999997E-2</v>
      </c>
      <c r="N54" s="73">
        <v>604.75800000000004</v>
      </c>
      <c r="O54" s="73">
        <v>675.80100000000004</v>
      </c>
      <c r="P54" s="223"/>
      <c r="Q54" s="223"/>
      <c r="R54" s="64"/>
      <c r="S54" s="64"/>
    </row>
    <row r="55" spans="3:19" ht="15.75" thickBot="1">
      <c r="C55" s="2"/>
      <c r="D55" s="72" t="s">
        <v>242</v>
      </c>
      <c r="E55" s="14">
        <v>0.75</v>
      </c>
      <c r="F55" s="15">
        <v>1</v>
      </c>
      <c r="G55" s="14">
        <v>3</v>
      </c>
      <c r="H55" s="15">
        <v>42</v>
      </c>
      <c r="I55" s="27" t="s">
        <v>23</v>
      </c>
      <c r="J55" s="28">
        <v>2900</v>
      </c>
      <c r="K55" s="38" t="s">
        <v>38</v>
      </c>
      <c r="L55" s="39">
        <v>32</v>
      </c>
      <c r="M55" s="42">
        <f>0.29*0.27*0.66</f>
        <v>5.1678000000000002E-2</v>
      </c>
      <c r="N55" s="73">
        <v>625.10700000000008</v>
      </c>
      <c r="O55" s="73">
        <v>695.43600000000004</v>
      </c>
      <c r="P55" s="223"/>
      <c r="Q55" s="223"/>
      <c r="R55" s="64"/>
      <c r="S55" s="64"/>
    </row>
    <row r="56" spans="3:19" ht="15.75" thickBot="1">
      <c r="C56" s="2"/>
      <c r="D56" s="72" t="s">
        <v>243</v>
      </c>
      <c r="E56" s="14">
        <v>0.75</v>
      </c>
      <c r="F56" s="15">
        <v>1</v>
      </c>
      <c r="G56" s="14">
        <v>3</v>
      </c>
      <c r="H56" s="15">
        <v>47</v>
      </c>
      <c r="I56" s="27" t="s">
        <v>23</v>
      </c>
      <c r="J56" s="28">
        <v>2900</v>
      </c>
      <c r="K56" s="38" t="s">
        <v>40</v>
      </c>
      <c r="L56" s="39">
        <v>32</v>
      </c>
      <c r="M56" s="42">
        <f>0.29*0.27*0.68</f>
        <v>5.3244E-2</v>
      </c>
      <c r="N56" s="73">
        <v>650.45399999999995</v>
      </c>
      <c r="O56" s="73">
        <v>714.71399999999994</v>
      </c>
      <c r="P56" s="223"/>
      <c r="Q56" s="223"/>
      <c r="R56" s="64"/>
      <c r="S56" s="64"/>
    </row>
    <row r="57" spans="3:19" ht="15.75" thickBot="1">
      <c r="C57" s="2"/>
      <c r="D57" s="72" t="s">
        <v>244</v>
      </c>
      <c r="E57" s="14">
        <v>1.1000000000000001</v>
      </c>
      <c r="F57" s="15">
        <v>1.5</v>
      </c>
      <c r="G57" s="14">
        <v>3</v>
      </c>
      <c r="H57" s="15">
        <v>51</v>
      </c>
      <c r="I57" s="27" t="s">
        <v>23</v>
      </c>
      <c r="J57" s="28">
        <v>2900</v>
      </c>
      <c r="K57" s="38" t="s">
        <v>42</v>
      </c>
      <c r="L57" s="39">
        <v>33</v>
      </c>
      <c r="M57" s="42">
        <f>0.29*0.27*0.7</f>
        <v>5.4809999999999991E-2</v>
      </c>
      <c r="N57" s="73">
        <v>695.43600000000004</v>
      </c>
      <c r="O57" s="73">
        <v>766.83600000000013</v>
      </c>
      <c r="P57" s="223"/>
      <c r="Q57" s="223"/>
      <c r="R57" s="64"/>
      <c r="S57" s="64"/>
    </row>
    <row r="58" spans="3:19" ht="15.75" thickBot="1">
      <c r="C58" s="2"/>
      <c r="D58" s="72" t="s">
        <v>245</v>
      </c>
      <c r="E58" s="14">
        <v>1.1000000000000001</v>
      </c>
      <c r="F58" s="15">
        <v>1.5</v>
      </c>
      <c r="G58" s="14">
        <v>3</v>
      </c>
      <c r="H58" s="15">
        <v>55</v>
      </c>
      <c r="I58" s="27" t="s">
        <v>23</v>
      </c>
      <c r="J58" s="28">
        <v>2900</v>
      </c>
      <c r="K58" s="38" t="s">
        <v>44</v>
      </c>
      <c r="L58" s="39">
        <v>34</v>
      </c>
      <c r="M58" s="42">
        <f>0.29*0.27*0.71</f>
        <v>5.5592999999999997E-2</v>
      </c>
      <c r="N58" s="73">
        <v>714.71399999999994</v>
      </c>
      <c r="O58" s="73">
        <v>786.47100000000012</v>
      </c>
      <c r="P58" s="223"/>
      <c r="Q58" s="223"/>
      <c r="R58" s="64"/>
      <c r="S58" s="64"/>
    </row>
    <row r="59" spans="3:19" ht="15.75" thickBot="1">
      <c r="C59" s="2"/>
      <c r="D59" s="72" t="s">
        <v>246</v>
      </c>
      <c r="E59" s="14">
        <v>1.1000000000000001</v>
      </c>
      <c r="F59" s="15">
        <v>1.5</v>
      </c>
      <c r="G59" s="14">
        <v>3</v>
      </c>
      <c r="H59" s="15">
        <v>60</v>
      </c>
      <c r="I59" s="27" t="s">
        <v>23</v>
      </c>
      <c r="J59" s="28">
        <v>2900</v>
      </c>
      <c r="K59" s="38" t="s">
        <v>46</v>
      </c>
      <c r="L59" s="39">
        <v>35</v>
      </c>
      <c r="M59" s="42">
        <f>0.29*0.27*0.73</f>
        <v>5.7158999999999995E-2</v>
      </c>
      <c r="N59" s="73">
        <v>734.34899999999993</v>
      </c>
      <c r="O59" s="73">
        <v>806.10600000000011</v>
      </c>
      <c r="P59" s="223"/>
      <c r="Q59" s="223"/>
      <c r="R59" s="64"/>
      <c r="S59" s="64"/>
    </row>
    <row r="60" spans="3:19" ht="15.75" thickBot="1">
      <c r="C60" s="2"/>
      <c r="D60" s="72" t="s">
        <v>247</v>
      </c>
      <c r="E60" s="14">
        <v>1.1000000000000001</v>
      </c>
      <c r="F60" s="15">
        <v>1.5</v>
      </c>
      <c r="G60" s="14">
        <v>3</v>
      </c>
      <c r="H60" s="15">
        <v>69</v>
      </c>
      <c r="I60" s="27" t="s">
        <v>23</v>
      </c>
      <c r="J60" s="28">
        <v>2900</v>
      </c>
      <c r="K60" s="38" t="s">
        <v>48</v>
      </c>
      <c r="L60" s="39">
        <v>36</v>
      </c>
      <c r="M60" s="42">
        <f>0.29*0.27*0.77</f>
        <v>6.0290999999999997E-2</v>
      </c>
      <c r="N60" s="73">
        <v>773.61899999999991</v>
      </c>
      <c r="O60" s="73">
        <v>845.37600000000009</v>
      </c>
      <c r="P60" s="223"/>
      <c r="Q60" s="223"/>
      <c r="R60" s="64"/>
      <c r="S60" s="64"/>
    </row>
    <row r="61" spans="3:19" ht="15.75" thickBot="1">
      <c r="C61" s="2"/>
      <c r="D61" s="72" t="s">
        <v>248</v>
      </c>
      <c r="E61" s="14">
        <v>1.5</v>
      </c>
      <c r="F61" s="15">
        <v>2</v>
      </c>
      <c r="G61" s="14">
        <v>3</v>
      </c>
      <c r="H61" s="15">
        <v>79</v>
      </c>
      <c r="I61" s="27" t="s">
        <v>23</v>
      </c>
      <c r="J61" s="28">
        <v>2900</v>
      </c>
      <c r="K61" s="38" t="s">
        <v>50</v>
      </c>
      <c r="L61" s="39">
        <v>43</v>
      </c>
      <c r="M61" s="42">
        <f>0.3*0.27*0.86</f>
        <v>6.966E-2</v>
      </c>
      <c r="N61" s="73">
        <v>877.86299999999994</v>
      </c>
      <c r="O61" s="73">
        <v>949.62</v>
      </c>
      <c r="P61" s="223"/>
      <c r="Q61" s="223"/>
      <c r="R61" s="64"/>
      <c r="S61" s="64"/>
    </row>
    <row r="62" spans="3:19" ht="15.75" thickBot="1">
      <c r="C62" s="2"/>
      <c r="D62" s="72" t="s">
        <v>249</v>
      </c>
      <c r="E62" s="14">
        <v>1.5</v>
      </c>
      <c r="F62" s="15">
        <v>2</v>
      </c>
      <c r="G62" s="14">
        <v>3</v>
      </c>
      <c r="H62" s="15">
        <v>88</v>
      </c>
      <c r="I62" s="27" t="s">
        <v>23</v>
      </c>
      <c r="J62" s="28">
        <v>2900</v>
      </c>
      <c r="K62" s="38" t="s">
        <v>52</v>
      </c>
      <c r="L62" s="39">
        <v>44</v>
      </c>
      <c r="M62" s="42">
        <f>0.3*0.27*0.89</f>
        <v>7.2090000000000001E-2</v>
      </c>
      <c r="N62" s="73">
        <v>916.41899999999998</v>
      </c>
      <c r="O62" s="73">
        <v>988.5329999999999</v>
      </c>
      <c r="P62" s="223"/>
      <c r="Q62" s="223"/>
      <c r="R62" s="64"/>
      <c r="S62" s="64"/>
    </row>
    <row r="63" spans="3:19" ht="15.75" thickBot="1">
      <c r="C63" s="2"/>
      <c r="D63" s="72" t="s">
        <v>250</v>
      </c>
      <c r="E63" s="14">
        <v>2.2000000000000002</v>
      </c>
      <c r="F63" s="15">
        <v>3</v>
      </c>
      <c r="G63" s="14">
        <v>3</v>
      </c>
      <c r="H63" s="15">
        <v>98</v>
      </c>
      <c r="I63" s="27" t="s">
        <v>23</v>
      </c>
      <c r="J63" s="28">
        <v>2900</v>
      </c>
      <c r="K63" s="38" t="s">
        <v>54</v>
      </c>
      <c r="L63" s="39">
        <v>47</v>
      </c>
      <c r="M63" s="42">
        <f>0.3*0.27*0.93</f>
        <v>7.5330000000000008E-2</v>
      </c>
      <c r="N63" s="73">
        <v>978.89399999999989</v>
      </c>
      <c r="O63" s="73">
        <v>1050.6510000000001</v>
      </c>
      <c r="P63" s="223"/>
      <c r="Q63" s="223"/>
      <c r="R63" s="64"/>
      <c r="S63" s="64"/>
    </row>
    <row r="64" spans="3:19" ht="15.75" thickBot="1">
      <c r="C64" s="2"/>
      <c r="D64" s="72" t="s">
        <v>251</v>
      </c>
      <c r="E64" s="14">
        <v>2.2000000000000002</v>
      </c>
      <c r="F64" s="15">
        <v>3</v>
      </c>
      <c r="G64" s="14">
        <v>3</v>
      </c>
      <c r="H64" s="15">
        <v>107</v>
      </c>
      <c r="I64" s="27" t="s">
        <v>23</v>
      </c>
      <c r="J64" s="28">
        <v>2900</v>
      </c>
      <c r="K64" s="38" t="s">
        <v>58</v>
      </c>
      <c r="L64" s="39">
        <v>48</v>
      </c>
      <c r="M64" s="42">
        <f>0.3*0.27*0.97</f>
        <v>7.8570000000000001E-2</v>
      </c>
      <c r="N64" s="73">
        <v>1017.8070000000001</v>
      </c>
      <c r="O64" s="73">
        <v>1089.5640000000001</v>
      </c>
      <c r="P64" s="223"/>
      <c r="Q64" s="223"/>
      <c r="R64" s="64"/>
      <c r="S64" s="64"/>
    </row>
    <row r="65" spans="3:19" ht="15.75" thickBot="1">
      <c r="C65" s="2"/>
      <c r="D65" s="72" t="s">
        <v>252</v>
      </c>
      <c r="E65" s="14">
        <v>2.2000000000000002</v>
      </c>
      <c r="F65" s="15">
        <v>3</v>
      </c>
      <c r="G65" s="14">
        <v>3</v>
      </c>
      <c r="H65" s="15">
        <v>116</v>
      </c>
      <c r="I65" s="27" t="s">
        <v>23</v>
      </c>
      <c r="J65" s="28">
        <v>2900</v>
      </c>
      <c r="K65" s="38" t="s">
        <v>60</v>
      </c>
      <c r="L65" s="39">
        <v>50</v>
      </c>
      <c r="M65" s="42">
        <f>0.3*0.27*1</f>
        <v>8.1000000000000003E-2</v>
      </c>
      <c r="N65" s="73">
        <v>1057.0770000000002</v>
      </c>
      <c r="O65" s="73">
        <v>1128.8340000000001</v>
      </c>
      <c r="P65" s="223"/>
      <c r="Q65" s="223"/>
      <c r="R65" s="64"/>
      <c r="S65" s="64"/>
    </row>
    <row r="66" spans="3:19" ht="15.75" thickBot="1">
      <c r="C66" s="2"/>
      <c r="D66" s="72" t="s">
        <v>253</v>
      </c>
      <c r="E66" s="14">
        <v>2.2000000000000002</v>
      </c>
      <c r="F66" s="15">
        <v>3</v>
      </c>
      <c r="G66" s="14">
        <v>3</v>
      </c>
      <c r="H66" s="15">
        <v>124</v>
      </c>
      <c r="I66" s="27" t="s">
        <v>23</v>
      </c>
      <c r="J66" s="28">
        <v>2900</v>
      </c>
      <c r="K66" s="38" t="s">
        <v>62</v>
      </c>
      <c r="L66" s="39">
        <v>51</v>
      </c>
      <c r="M66" s="42">
        <f>0.3*0.27*1.04</f>
        <v>8.4240000000000009E-2</v>
      </c>
      <c r="N66" s="73">
        <v>1095.99</v>
      </c>
      <c r="O66" s="73">
        <v>1167.0329999999999</v>
      </c>
      <c r="P66" s="223"/>
      <c r="Q66" s="223"/>
      <c r="R66" s="64"/>
      <c r="S66" s="64"/>
    </row>
    <row r="67" spans="3:19" ht="15.75" thickBot="1">
      <c r="C67" s="2"/>
      <c r="D67" s="72" t="s">
        <v>254</v>
      </c>
      <c r="E67" s="14">
        <v>2.2000000000000002</v>
      </c>
      <c r="F67" s="15">
        <v>3</v>
      </c>
      <c r="G67" s="14">
        <v>3</v>
      </c>
      <c r="H67" s="15">
        <v>133</v>
      </c>
      <c r="I67" s="27" t="s">
        <v>23</v>
      </c>
      <c r="J67" s="28">
        <v>2900</v>
      </c>
      <c r="K67" s="38" t="s">
        <v>103</v>
      </c>
      <c r="L67" s="39">
        <v>52</v>
      </c>
      <c r="M67" s="42">
        <f>0.3*0.27*1.07</f>
        <v>8.6670000000000011E-2</v>
      </c>
      <c r="N67" s="73">
        <v>1199.8770000000002</v>
      </c>
      <c r="O67" s="73">
        <v>1271.2770000000003</v>
      </c>
      <c r="P67" s="223"/>
      <c r="Q67" s="223"/>
      <c r="R67" s="64"/>
      <c r="S67" s="64"/>
    </row>
    <row r="68" spans="3:19" ht="15.75" thickBot="1">
      <c r="C68" s="2"/>
      <c r="D68" s="72" t="s">
        <v>255</v>
      </c>
      <c r="E68" s="14">
        <v>3</v>
      </c>
      <c r="F68" s="15">
        <v>4</v>
      </c>
      <c r="G68" s="14">
        <v>3</v>
      </c>
      <c r="H68" s="15">
        <v>142</v>
      </c>
      <c r="I68" s="27" t="s">
        <v>23</v>
      </c>
      <c r="J68" s="28">
        <v>2900</v>
      </c>
      <c r="K68" s="38" t="s">
        <v>105</v>
      </c>
      <c r="L68" s="39">
        <v>61</v>
      </c>
      <c r="M68" s="42">
        <f>0.31*0.27*1.18</f>
        <v>9.8766000000000007E-2</v>
      </c>
      <c r="N68" s="73">
        <v>1378.3770000000002</v>
      </c>
      <c r="O68" s="73">
        <v>1450.134</v>
      </c>
      <c r="P68" s="223"/>
      <c r="Q68" s="223"/>
      <c r="R68" s="64"/>
      <c r="S68" s="64"/>
    </row>
    <row r="69" spans="3:19" ht="15.75" thickBot="1">
      <c r="C69" s="2"/>
      <c r="D69" s="72" t="s">
        <v>256</v>
      </c>
      <c r="E69" s="14">
        <v>3</v>
      </c>
      <c r="F69" s="15">
        <v>4</v>
      </c>
      <c r="G69" s="14">
        <v>3</v>
      </c>
      <c r="H69" s="15">
        <v>151</v>
      </c>
      <c r="I69" s="27" t="s">
        <v>23</v>
      </c>
      <c r="J69" s="28">
        <v>2900</v>
      </c>
      <c r="K69" s="38" t="s">
        <v>67</v>
      </c>
      <c r="L69" s="39">
        <v>62</v>
      </c>
      <c r="M69" s="42">
        <f>0.31*0.27*1.21</f>
        <v>0.10127700000000001</v>
      </c>
      <c r="N69" s="73">
        <v>1416.576</v>
      </c>
      <c r="O69" s="73">
        <v>1489.0470000000003</v>
      </c>
      <c r="P69" s="223"/>
      <c r="Q69" s="223"/>
      <c r="R69" s="64"/>
      <c r="S69" s="64"/>
    </row>
    <row r="70" spans="3:19" ht="15.75" thickBot="1">
      <c r="C70" s="2"/>
      <c r="D70" s="72" t="s">
        <v>257</v>
      </c>
      <c r="E70" s="14">
        <v>3</v>
      </c>
      <c r="F70" s="15">
        <v>4</v>
      </c>
      <c r="G70" s="14">
        <v>3</v>
      </c>
      <c r="H70" s="15">
        <v>168</v>
      </c>
      <c r="I70" s="27" t="s">
        <v>23</v>
      </c>
      <c r="J70" s="28">
        <v>2900</v>
      </c>
      <c r="K70" s="38" t="s">
        <v>70</v>
      </c>
      <c r="L70" s="39">
        <v>64</v>
      </c>
      <c r="M70" s="42">
        <f>0.31*0.27*1.27</f>
        <v>0.10629900000000002</v>
      </c>
      <c r="N70" s="73">
        <v>1476.5520000000001</v>
      </c>
      <c r="O70" s="73">
        <v>1546.8810000000001</v>
      </c>
      <c r="P70" s="223"/>
      <c r="Q70" s="223"/>
      <c r="R70" s="64"/>
      <c r="S70" s="64"/>
    </row>
    <row r="71" spans="3:19" ht="15.75" thickBot="1">
      <c r="C71" s="2"/>
      <c r="D71" s="72" t="s">
        <v>258</v>
      </c>
      <c r="E71" s="14">
        <v>0.37</v>
      </c>
      <c r="F71" s="15">
        <v>0.5</v>
      </c>
      <c r="G71" s="14">
        <v>4</v>
      </c>
      <c r="H71" s="15">
        <v>15</v>
      </c>
      <c r="I71" s="27" t="s">
        <v>107</v>
      </c>
      <c r="J71" s="28">
        <v>2900</v>
      </c>
      <c r="K71" s="38" t="s">
        <v>24</v>
      </c>
      <c r="L71" s="39">
        <v>24</v>
      </c>
      <c r="M71" s="42">
        <f>0.27*0.27*0.52</f>
        <v>3.7908000000000004E-2</v>
      </c>
      <c r="N71" s="73">
        <v>480.87899999999996</v>
      </c>
      <c r="O71" s="73">
        <v>578.697</v>
      </c>
      <c r="P71" s="223"/>
      <c r="Q71" s="223"/>
      <c r="R71" s="64"/>
      <c r="S71" s="64"/>
    </row>
    <row r="72" spans="3:19" ht="15.75" thickBot="1">
      <c r="C72" s="2"/>
      <c r="D72" s="72" t="s">
        <v>259</v>
      </c>
      <c r="E72" s="14">
        <v>0.55000000000000004</v>
      </c>
      <c r="F72" s="15">
        <v>0.75</v>
      </c>
      <c r="G72" s="14">
        <v>4</v>
      </c>
      <c r="H72" s="15">
        <v>24</v>
      </c>
      <c r="I72" s="27" t="s">
        <v>107</v>
      </c>
      <c r="J72" s="28">
        <v>2900</v>
      </c>
      <c r="K72" s="38" t="s">
        <v>26</v>
      </c>
      <c r="L72" s="39">
        <v>25</v>
      </c>
      <c r="M72" s="42">
        <f>0.27*0.27*0.55</f>
        <v>4.0095000000000006E-2</v>
      </c>
      <c r="N72" s="73">
        <v>500.51399999999995</v>
      </c>
      <c r="O72" s="73">
        <v>598.33199999999999</v>
      </c>
      <c r="P72" s="223"/>
      <c r="Q72" s="223"/>
      <c r="R72" s="64"/>
      <c r="S72" s="64"/>
    </row>
    <row r="73" spans="3:19" ht="15.75" thickBot="1">
      <c r="C73" s="2"/>
      <c r="D73" s="72" t="s">
        <v>260</v>
      </c>
      <c r="E73" s="14">
        <v>0.75</v>
      </c>
      <c r="F73" s="15">
        <v>1</v>
      </c>
      <c r="G73" s="14">
        <v>4</v>
      </c>
      <c r="H73" s="15">
        <v>32</v>
      </c>
      <c r="I73" s="27" t="s">
        <v>107</v>
      </c>
      <c r="J73" s="28">
        <v>2900</v>
      </c>
      <c r="K73" s="38" t="s">
        <v>28</v>
      </c>
      <c r="L73" s="39">
        <v>28</v>
      </c>
      <c r="M73" s="42">
        <f>0.29*0.27*0.61</f>
        <v>4.7762999999999993E-2</v>
      </c>
      <c r="N73" s="73">
        <v>526.57500000000005</v>
      </c>
      <c r="O73" s="73">
        <v>624.39300000000003</v>
      </c>
      <c r="P73" s="223"/>
      <c r="Q73" s="223"/>
      <c r="R73" s="64"/>
      <c r="S73" s="64"/>
    </row>
    <row r="74" spans="3:19" ht="15.75" thickBot="1">
      <c r="C74" s="2"/>
      <c r="D74" s="72" t="s">
        <v>261</v>
      </c>
      <c r="E74" s="14">
        <v>1.1000000000000001</v>
      </c>
      <c r="F74" s="15">
        <v>1.5</v>
      </c>
      <c r="G74" s="14">
        <v>4</v>
      </c>
      <c r="H74" s="15">
        <v>40</v>
      </c>
      <c r="I74" s="27" t="s">
        <v>107</v>
      </c>
      <c r="J74" s="28">
        <v>2900</v>
      </c>
      <c r="K74" s="38" t="s">
        <v>30</v>
      </c>
      <c r="L74" s="39">
        <v>30</v>
      </c>
      <c r="M74" s="42">
        <f>0.29*0.27*0.63</f>
        <v>4.9328999999999998E-2</v>
      </c>
      <c r="N74" s="73">
        <v>645.81299999999999</v>
      </c>
      <c r="O74" s="73">
        <v>767.55000000000007</v>
      </c>
      <c r="P74" s="223"/>
      <c r="Q74" s="223"/>
      <c r="R74" s="64"/>
      <c r="S74" s="64"/>
    </row>
    <row r="75" spans="3:19" ht="15.75" thickBot="1">
      <c r="C75" s="2"/>
      <c r="D75" s="72" t="s">
        <v>262</v>
      </c>
      <c r="E75" s="14">
        <v>1.1000000000000001</v>
      </c>
      <c r="F75" s="15">
        <v>1.5</v>
      </c>
      <c r="G75" s="14">
        <v>4</v>
      </c>
      <c r="H75" s="15">
        <v>48</v>
      </c>
      <c r="I75" s="27" t="s">
        <v>107</v>
      </c>
      <c r="J75" s="28">
        <v>2900</v>
      </c>
      <c r="K75" s="38" t="s">
        <v>32</v>
      </c>
      <c r="L75" s="39">
        <v>31</v>
      </c>
      <c r="M75" s="42">
        <f>0.29*0.27*0.66</f>
        <v>5.1678000000000002E-2</v>
      </c>
      <c r="N75" s="73">
        <v>663.30600000000004</v>
      </c>
      <c r="O75" s="73">
        <v>785.4</v>
      </c>
      <c r="P75" s="223"/>
      <c r="Q75" s="223"/>
      <c r="R75" s="64"/>
      <c r="S75" s="64"/>
    </row>
    <row r="76" spans="3:19" ht="15.75" thickBot="1">
      <c r="C76" s="2"/>
      <c r="D76" s="72" t="s">
        <v>263</v>
      </c>
      <c r="E76" s="14">
        <v>1.5</v>
      </c>
      <c r="F76" s="15">
        <v>2</v>
      </c>
      <c r="G76" s="14">
        <v>4</v>
      </c>
      <c r="H76" s="15">
        <v>56</v>
      </c>
      <c r="I76" s="27" t="s">
        <v>107</v>
      </c>
      <c r="J76" s="28">
        <v>2900</v>
      </c>
      <c r="K76" s="38" t="s">
        <v>34</v>
      </c>
      <c r="L76" s="39">
        <v>37</v>
      </c>
      <c r="M76" s="42">
        <f>0.3*0.27*0.74</f>
        <v>5.994E-2</v>
      </c>
      <c r="N76" s="73">
        <v>727.20899999999995</v>
      </c>
      <c r="O76" s="73">
        <v>849.66</v>
      </c>
      <c r="P76" s="223"/>
      <c r="Q76" s="223"/>
      <c r="R76" s="64"/>
      <c r="S76" s="64"/>
    </row>
    <row r="77" spans="3:19" ht="15.75" thickBot="1">
      <c r="C77" s="2"/>
      <c r="D77" s="72" t="s">
        <v>264</v>
      </c>
      <c r="E77" s="14">
        <v>1.5</v>
      </c>
      <c r="F77" s="15">
        <v>2</v>
      </c>
      <c r="G77" s="14">
        <v>4</v>
      </c>
      <c r="H77" s="15">
        <v>64</v>
      </c>
      <c r="I77" s="27" t="s">
        <v>107</v>
      </c>
      <c r="J77" s="28">
        <v>2900</v>
      </c>
      <c r="K77" s="38" t="s">
        <v>36</v>
      </c>
      <c r="L77" s="39">
        <v>37</v>
      </c>
      <c r="M77" s="42">
        <f>0.3*0.27*0.77</f>
        <v>6.2370000000000002E-2</v>
      </c>
      <c r="N77" s="73">
        <v>742.91700000000003</v>
      </c>
      <c r="O77" s="73">
        <v>863.58299999999997</v>
      </c>
      <c r="P77" s="223"/>
      <c r="Q77" s="223"/>
      <c r="R77" s="64"/>
      <c r="S77" s="64"/>
    </row>
    <row r="78" spans="3:19" ht="15.75" thickBot="1">
      <c r="C78" s="2"/>
      <c r="D78" s="72" t="s">
        <v>265</v>
      </c>
      <c r="E78" s="14">
        <v>2.2000000000000002</v>
      </c>
      <c r="F78" s="15">
        <v>3</v>
      </c>
      <c r="G78" s="14">
        <v>4</v>
      </c>
      <c r="H78" s="15">
        <v>81</v>
      </c>
      <c r="I78" s="27" t="s">
        <v>107</v>
      </c>
      <c r="J78" s="28">
        <v>2900</v>
      </c>
      <c r="K78" s="38" t="s">
        <v>40</v>
      </c>
      <c r="L78" s="39">
        <v>42</v>
      </c>
      <c r="M78" s="42">
        <f>0.3*0.27*0.82</f>
        <v>6.6419999999999993E-2</v>
      </c>
      <c r="N78" s="73">
        <v>826.45500000000004</v>
      </c>
      <c r="O78" s="73">
        <v>949.62</v>
      </c>
      <c r="P78" s="223"/>
      <c r="Q78" s="223"/>
      <c r="R78" s="64"/>
      <c r="S78" s="64"/>
    </row>
    <row r="79" spans="3:19" ht="15.75" thickBot="1">
      <c r="C79" s="2"/>
      <c r="D79" s="72" t="s">
        <v>266</v>
      </c>
      <c r="E79" s="14">
        <v>2.2000000000000002</v>
      </c>
      <c r="F79" s="15">
        <v>3</v>
      </c>
      <c r="G79" s="14">
        <v>4</v>
      </c>
      <c r="H79" s="15">
        <v>95</v>
      </c>
      <c r="I79" s="27" t="s">
        <v>107</v>
      </c>
      <c r="J79" s="28">
        <v>2900</v>
      </c>
      <c r="K79" s="38" t="s">
        <v>44</v>
      </c>
      <c r="L79" s="39">
        <v>43</v>
      </c>
      <c r="M79" s="42">
        <f>0.3*0.27*0.88</f>
        <v>7.1279999999999996E-2</v>
      </c>
      <c r="N79" s="73">
        <v>859.65600000000006</v>
      </c>
      <c r="O79" s="73">
        <v>983.53499999999997</v>
      </c>
      <c r="P79" s="223"/>
      <c r="Q79" s="223"/>
      <c r="R79" s="64"/>
      <c r="S79" s="64"/>
    </row>
    <row r="80" spans="3:19" ht="15.75" thickBot="1">
      <c r="C80" s="2"/>
      <c r="D80" s="72" t="s">
        <v>267</v>
      </c>
      <c r="E80" s="14">
        <v>3</v>
      </c>
      <c r="F80" s="15">
        <v>4</v>
      </c>
      <c r="G80" s="14">
        <v>4</v>
      </c>
      <c r="H80" s="15">
        <v>112</v>
      </c>
      <c r="I80" s="27" t="s">
        <v>107</v>
      </c>
      <c r="J80" s="28">
        <v>2900</v>
      </c>
      <c r="K80" s="38" t="s">
        <v>86</v>
      </c>
      <c r="L80" s="39">
        <v>52</v>
      </c>
      <c r="M80" s="42">
        <f>0.31*0.27*1</f>
        <v>8.3700000000000011E-2</v>
      </c>
      <c r="N80" s="73">
        <v>983.53499999999997</v>
      </c>
      <c r="O80" s="73">
        <v>1105.9859999999999</v>
      </c>
      <c r="P80" s="223"/>
      <c r="Q80" s="223"/>
      <c r="R80" s="64"/>
      <c r="S80" s="64"/>
    </row>
    <row r="81" spans="3:19" ht="15.75" thickBot="1">
      <c r="C81" s="2"/>
      <c r="D81" s="72" t="s">
        <v>268</v>
      </c>
      <c r="E81" s="14">
        <v>3</v>
      </c>
      <c r="F81" s="15">
        <v>4</v>
      </c>
      <c r="G81" s="14">
        <v>4</v>
      </c>
      <c r="H81" s="15">
        <v>129</v>
      </c>
      <c r="I81" s="27" t="s">
        <v>107</v>
      </c>
      <c r="J81" s="28">
        <v>2900</v>
      </c>
      <c r="K81" s="38" t="s">
        <v>89</v>
      </c>
      <c r="L81" s="39">
        <v>54</v>
      </c>
      <c r="M81" s="42">
        <f>0.31*0.27*1.05</f>
        <v>8.7885000000000019E-2</v>
      </c>
      <c r="N81" s="73">
        <v>1017.8070000000001</v>
      </c>
      <c r="O81" s="73">
        <v>1140.2579999999998</v>
      </c>
      <c r="P81" s="223"/>
      <c r="Q81" s="223"/>
      <c r="R81" s="64"/>
      <c r="S81" s="64"/>
    </row>
    <row r="82" spans="3:19" ht="15.75" thickBot="1">
      <c r="C82" s="2"/>
      <c r="D82" s="72" t="s">
        <v>269</v>
      </c>
      <c r="E82" s="14">
        <v>4</v>
      </c>
      <c r="F82" s="15">
        <v>5.5</v>
      </c>
      <c r="G82" s="14">
        <v>4</v>
      </c>
      <c r="H82" s="15">
        <v>153</v>
      </c>
      <c r="I82" s="27" t="s">
        <v>107</v>
      </c>
      <c r="J82" s="28">
        <v>2900</v>
      </c>
      <c r="K82" s="38" t="s">
        <v>52</v>
      </c>
      <c r="L82" s="39">
        <v>64</v>
      </c>
      <c r="M82" s="42">
        <f>0.33*0.27*1.14</f>
        <v>0.10157400000000001</v>
      </c>
      <c r="N82" s="73">
        <v>1137.0450000000001</v>
      </c>
      <c r="O82" s="73">
        <v>1259.1390000000001</v>
      </c>
      <c r="P82" s="223"/>
      <c r="Q82" s="223"/>
      <c r="R82" s="64"/>
      <c r="S82" s="64"/>
    </row>
    <row r="83" spans="3:19" ht="15.75" thickBot="1">
      <c r="C83" s="2"/>
      <c r="D83" s="72" t="s">
        <v>270</v>
      </c>
      <c r="E83" s="14">
        <v>4</v>
      </c>
      <c r="F83" s="15">
        <v>5.5</v>
      </c>
      <c r="G83" s="14">
        <v>4</v>
      </c>
      <c r="H83" s="15">
        <v>178</v>
      </c>
      <c r="I83" s="27" t="s">
        <v>107</v>
      </c>
      <c r="J83" s="28">
        <v>2900</v>
      </c>
      <c r="K83" s="38" t="s">
        <v>56</v>
      </c>
      <c r="L83" s="39">
        <v>67</v>
      </c>
      <c r="M83" s="42">
        <f>0.33*0.27*1.22</f>
        <v>0.10870200000000001</v>
      </c>
      <c r="N83" s="73">
        <v>1191.309</v>
      </c>
      <c r="O83" s="73">
        <v>1315.1879999999999</v>
      </c>
      <c r="P83" s="223"/>
      <c r="Q83" s="223"/>
      <c r="R83" s="64"/>
      <c r="S83" s="64"/>
    </row>
    <row r="84" spans="3:19" ht="15.75" thickBot="1">
      <c r="C84" s="2"/>
      <c r="D84" s="72" t="s">
        <v>271</v>
      </c>
      <c r="E84" s="14">
        <v>0.75</v>
      </c>
      <c r="F84" s="15">
        <v>1</v>
      </c>
      <c r="G84" s="14">
        <v>8</v>
      </c>
      <c r="H84" s="15">
        <v>9</v>
      </c>
      <c r="I84" s="27" t="s">
        <v>136</v>
      </c>
      <c r="J84" s="28">
        <v>2900</v>
      </c>
      <c r="K84" s="38" t="s">
        <v>24</v>
      </c>
      <c r="L84" s="39">
        <v>36</v>
      </c>
      <c r="M84" s="42">
        <f>0.3*0.31*0.61</f>
        <v>5.6729999999999996E-2</v>
      </c>
      <c r="N84" s="73">
        <v>636.53100000000006</v>
      </c>
      <c r="O84" s="73">
        <v>773.61899999999991</v>
      </c>
      <c r="P84" s="223"/>
      <c r="Q84" s="223"/>
      <c r="R84" s="64"/>
      <c r="S84" s="64"/>
    </row>
    <row r="85" spans="3:19" ht="15.75" thickBot="1">
      <c r="C85" s="2"/>
      <c r="D85" s="72" t="s">
        <v>272</v>
      </c>
      <c r="E85" s="14">
        <v>0.75</v>
      </c>
      <c r="F85" s="15">
        <v>1</v>
      </c>
      <c r="G85" s="14">
        <v>8</v>
      </c>
      <c r="H85" s="15">
        <v>18</v>
      </c>
      <c r="I85" s="27" t="s">
        <v>136</v>
      </c>
      <c r="J85" s="28">
        <v>2900</v>
      </c>
      <c r="K85" s="38" t="s">
        <v>24</v>
      </c>
      <c r="L85" s="39">
        <v>36</v>
      </c>
      <c r="M85" s="42">
        <f>0.3*0.31*0.61</f>
        <v>5.6729999999999996E-2</v>
      </c>
      <c r="N85" s="73">
        <v>636.53100000000006</v>
      </c>
      <c r="O85" s="73">
        <v>773.61899999999991</v>
      </c>
      <c r="P85" s="223"/>
      <c r="Q85" s="223"/>
      <c r="R85" s="64"/>
      <c r="S85" s="64"/>
    </row>
    <row r="86" spans="3:19" ht="15.75" thickBot="1">
      <c r="C86" s="2"/>
      <c r="D86" s="72" t="s">
        <v>273</v>
      </c>
      <c r="E86" s="14">
        <v>1.1000000000000001</v>
      </c>
      <c r="F86" s="15">
        <v>1.5</v>
      </c>
      <c r="G86" s="14">
        <v>8</v>
      </c>
      <c r="H86" s="15">
        <v>27</v>
      </c>
      <c r="I86" s="27" t="s">
        <v>136</v>
      </c>
      <c r="J86" s="28">
        <v>2900</v>
      </c>
      <c r="K86" s="38" t="s">
        <v>26</v>
      </c>
      <c r="L86" s="39">
        <v>38</v>
      </c>
      <c r="M86" s="42">
        <f>0.3*0.31*0.64</f>
        <v>5.9520000000000003E-2</v>
      </c>
      <c r="N86" s="73">
        <v>675.80100000000004</v>
      </c>
      <c r="O86" s="73">
        <v>812.53200000000004</v>
      </c>
      <c r="P86" s="223"/>
      <c r="Q86" s="223"/>
      <c r="R86" s="64"/>
      <c r="S86" s="64"/>
    </row>
    <row r="87" spans="3:19" ht="15.75" thickBot="1">
      <c r="C87" s="2"/>
      <c r="D87" s="72" t="s">
        <v>274</v>
      </c>
      <c r="E87" s="14">
        <v>1.5</v>
      </c>
      <c r="F87" s="15">
        <v>2</v>
      </c>
      <c r="G87" s="14">
        <v>8</v>
      </c>
      <c r="H87" s="15">
        <v>36</v>
      </c>
      <c r="I87" s="27" t="s">
        <v>136</v>
      </c>
      <c r="J87" s="28">
        <v>2900</v>
      </c>
      <c r="K87" s="38" t="s">
        <v>28</v>
      </c>
      <c r="L87" s="39">
        <v>45</v>
      </c>
      <c r="M87" s="42">
        <f>0.32*0.31*0.73</f>
        <v>7.2415999999999994E-2</v>
      </c>
      <c r="N87" s="73">
        <v>829.66800000000001</v>
      </c>
      <c r="O87" s="73">
        <v>988.5329999999999</v>
      </c>
      <c r="P87" s="223"/>
      <c r="Q87" s="223"/>
      <c r="R87" s="64"/>
      <c r="S87" s="64"/>
    </row>
    <row r="88" spans="3:19" ht="15.75" thickBot="1">
      <c r="C88" s="2"/>
      <c r="D88" s="72" t="s">
        <v>275</v>
      </c>
      <c r="E88" s="14">
        <v>2.2000000000000002</v>
      </c>
      <c r="F88" s="15">
        <v>3</v>
      </c>
      <c r="G88" s="14">
        <v>8</v>
      </c>
      <c r="H88" s="15">
        <v>45</v>
      </c>
      <c r="I88" s="27" t="s">
        <v>136</v>
      </c>
      <c r="J88" s="28">
        <v>2900</v>
      </c>
      <c r="K88" s="38" t="s">
        <v>30</v>
      </c>
      <c r="L88" s="39">
        <v>49</v>
      </c>
      <c r="M88" s="42">
        <f>0.32*0.31*0.76</f>
        <v>7.5392000000000001E-2</v>
      </c>
      <c r="N88" s="73">
        <v>882.50399999999991</v>
      </c>
      <c r="O88" s="73">
        <v>1039.941</v>
      </c>
      <c r="P88" s="223"/>
      <c r="Q88" s="223"/>
      <c r="R88" s="64"/>
      <c r="S88" s="64"/>
    </row>
    <row r="89" spans="3:19" ht="15.75" thickBot="1">
      <c r="C89" s="2"/>
      <c r="D89" s="72" t="s">
        <v>276</v>
      </c>
      <c r="E89" s="14">
        <v>2.2000000000000002</v>
      </c>
      <c r="F89" s="15">
        <v>3</v>
      </c>
      <c r="G89" s="14">
        <v>8</v>
      </c>
      <c r="H89" s="15">
        <v>54</v>
      </c>
      <c r="I89" s="27" t="s">
        <v>136</v>
      </c>
      <c r="J89" s="28">
        <v>2900</v>
      </c>
      <c r="K89" s="38" t="s">
        <v>32</v>
      </c>
      <c r="L89" s="39">
        <v>50</v>
      </c>
      <c r="M89" s="42">
        <f>0.32*0.31*0.79</f>
        <v>7.8368000000000007E-2</v>
      </c>
      <c r="N89" s="73">
        <v>907.13700000000006</v>
      </c>
      <c r="O89" s="73">
        <v>1066.0020000000002</v>
      </c>
      <c r="P89" s="223"/>
      <c r="Q89" s="223"/>
      <c r="R89" s="64"/>
      <c r="S89" s="64"/>
    </row>
    <row r="90" spans="3:19" ht="15.75" thickBot="1">
      <c r="C90" s="2"/>
      <c r="D90" s="72" t="s">
        <v>277</v>
      </c>
      <c r="E90" s="14">
        <v>3</v>
      </c>
      <c r="F90" s="15">
        <v>4</v>
      </c>
      <c r="G90" s="14">
        <v>8</v>
      </c>
      <c r="H90" s="15">
        <v>73</v>
      </c>
      <c r="I90" s="27" t="s">
        <v>136</v>
      </c>
      <c r="J90" s="28">
        <v>2900</v>
      </c>
      <c r="K90" s="38" t="s">
        <v>36</v>
      </c>
      <c r="L90" s="39">
        <v>60</v>
      </c>
      <c r="M90" s="42">
        <f>0.33*0.31*0.91</f>
        <v>9.3093000000000009E-2</v>
      </c>
      <c r="N90" s="73">
        <v>1133.1179999999999</v>
      </c>
      <c r="O90" s="73">
        <v>1300.194</v>
      </c>
      <c r="P90" s="223"/>
      <c r="Q90" s="223"/>
      <c r="R90" s="64"/>
      <c r="S90" s="64"/>
    </row>
    <row r="91" spans="3:19" ht="15.75" thickBot="1">
      <c r="C91" s="2"/>
      <c r="D91" s="72" t="s">
        <v>278</v>
      </c>
      <c r="E91" s="14">
        <v>4</v>
      </c>
      <c r="F91" s="15">
        <v>5.5</v>
      </c>
      <c r="G91" s="14">
        <v>8</v>
      </c>
      <c r="H91" s="15">
        <v>92</v>
      </c>
      <c r="I91" s="27" t="s">
        <v>136</v>
      </c>
      <c r="J91" s="28">
        <v>2900</v>
      </c>
      <c r="K91" s="38" t="s">
        <v>40</v>
      </c>
      <c r="L91" s="39">
        <v>71</v>
      </c>
      <c r="M91" s="42">
        <f>0.35*0.31*0.98</f>
        <v>0.10632999999999999</v>
      </c>
      <c r="N91" s="73">
        <v>1238.79</v>
      </c>
      <c r="O91" s="73">
        <v>1406.223</v>
      </c>
      <c r="P91" s="223"/>
      <c r="Q91" s="223"/>
      <c r="R91" s="64"/>
      <c r="S91" s="64"/>
    </row>
    <row r="92" spans="3:19" ht="15.75" thickBot="1">
      <c r="C92" s="2"/>
      <c r="D92" s="72" t="s">
        <v>279</v>
      </c>
      <c r="E92" s="14">
        <v>4</v>
      </c>
      <c r="F92" s="15">
        <v>5.5</v>
      </c>
      <c r="G92" s="14">
        <v>8</v>
      </c>
      <c r="H92" s="15">
        <v>111</v>
      </c>
      <c r="I92" s="27" t="s">
        <v>136</v>
      </c>
      <c r="J92" s="28">
        <v>2900</v>
      </c>
      <c r="K92" s="38" t="s">
        <v>44</v>
      </c>
      <c r="L92" s="39">
        <v>74</v>
      </c>
      <c r="M92" s="42">
        <f>0.35*0.31*1.04</f>
        <v>0.11284000000000001</v>
      </c>
      <c r="N92" s="73">
        <v>1293.4110000000001</v>
      </c>
      <c r="O92" s="73">
        <v>1461.201</v>
      </c>
      <c r="P92" s="223"/>
      <c r="Q92" s="223"/>
      <c r="R92" s="64"/>
      <c r="S92" s="64"/>
    </row>
    <row r="93" spans="3:19" ht="15.75" thickBot="1">
      <c r="C93" s="2"/>
      <c r="D93" s="72" t="s">
        <v>280</v>
      </c>
      <c r="E93" s="14">
        <v>5.5</v>
      </c>
      <c r="F93" s="15">
        <v>7.5</v>
      </c>
      <c r="G93" s="14">
        <v>8</v>
      </c>
      <c r="H93" s="15">
        <v>130</v>
      </c>
      <c r="I93" s="27" t="s">
        <v>136</v>
      </c>
      <c r="J93" s="28">
        <v>2900</v>
      </c>
      <c r="K93" s="38" t="s">
        <v>86</v>
      </c>
      <c r="L93" s="39">
        <v>90</v>
      </c>
      <c r="M93" s="42">
        <f>0.37*0.31*1.16</f>
        <v>0.13305199999999998</v>
      </c>
      <c r="N93" s="73">
        <v>1632.5609999999999</v>
      </c>
      <c r="O93" s="73">
        <v>1798.566</v>
      </c>
      <c r="P93" s="223"/>
      <c r="Q93" s="223"/>
      <c r="R93" s="64"/>
      <c r="S93" s="64"/>
    </row>
    <row r="94" spans="3:19" ht="15.75" thickBot="1">
      <c r="C94" s="2"/>
      <c r="D94" s="72" t="s">
        <v>281</v>
      </c>
      <c r="E94" s="14">
        <v>5.5</v>
      </c>
      <c r="F94" s="15">
        <v>7.5</v>
      </c>
      <c r="G94" s="14">
        <v>8</v>
      </c>
      <c r="H94" s="15">
        <v>148</v>
      </c>
      <c r="I94" s="27" t="s">
        <v>136</v>
      </c>
      <c r="J94" s="28">
        <v>2900</v>
      </c>
      <c r="K94" s="38" t="s">
        <v>89</v>
      </c>
      <c r="L94" s="39">
        <v>94</v>
      </c>
      <c r="M94" s="42">
        <f>0.37*0.31*1.22</f>
        <v>0.139934</v>
      </c>
      <c r="N94" s="73">
        <v>1687.1820000000002</v>
      </c>
      <c r="O94" s="73">
        <v>1853.1870000000001</v>
      </c>
      <c r="P94" s="223"/>
      <c r="Q94" s="223"/>
      <c r="R94" s="64"/>
      <c r="S94" s="64"/>
    </row>
    <row r="95" spans="3:19" ht="15.75" thickBot="1">
      <c r="C95" s="2"/>
      <c r="D95" s="72" t="s">
        <v>282</v>
      </c>
      <c r="E95" s="14">
        <v>7.5</v>
      </c>
      <c r="F95" s="15">
        <v>10</v>
      </c>
      <c r="G95" s="14">
        <v>8</v>
      </c>
      <c r="H95" s="15">
        <v>167</v>
      </c>
      <c r="I95" s="27" t="s">
        <v>136</v>
      </c>
      <c r="J95" s="28">
        <v>2900</v>
      </c>
      <c r="K95" s="38" t="s">
        <v>91</v>
      </c>
      <c r="L95" s="39">
        <v>103</v>
      </c>
      <c r="M95" s="42">
        <f>0.37*0.31*1.28</f>
        <v>0.146816</v>
      </c>
      <c r="N95" s="73">
        <v>1829.2679999999998</v>
      </c>
      <c r="O95" s="73">
        <v>1996.7009999999998</v>
      </c>
      <c r="P95" s="223"/>
      <c r="Q95" s="223"/>
      <c r="R95" s="64"/>
      <c r="S95" s="64"/>
    </row>
    <row r="96" spans="3:19" ht="15.75" thickBot="1">
      <c r="C96" s="2"/>
      <c r="D96" s="72" t="s">
        <v>283</v>
      </c>
      <c r="E96" s="14">
        <v>7.5</v>
      </c>
      <c r="F96" s="15">
        <v>10</v>
      </c>
      <c r="G96" s="14">
        <v>8</v>
      </c>
      <c r="H96" s="15">
        <v>186</v>
      </c>
      <c r="I96" s="27" t="s">
        <v>136</v>
      </c>
      <c r="J96" s="28">
        <v>2900</v>
      </c>
      <c r="K96" s="38" t="s">
        <v>94</v>
      </c>
      <c r="L96" s="39">
        <v>105</v>
      </c>
      <c r="M96" s="42">
        <f>0.37*0.31*1.34</f>
        <v>0.153698</v>
      </c>
      <c r="N96" s="73">
        <v>1885.3170000000002</v>
      </c>
      <c r="O96" s="73">
        <v>2051.3220000000001</v>
      </c>
      <c r="P96" s="223"/>
      <c r="Q96" s="223"/>
      <c r="R96" s="64"/>
      <c r="S96" s="64"/>
    </row>
    <row r="97" spans="3:19" ht="15.75" thickBot="1">
      <c r="C97" s="2"/>
      <c r="D97" s="72" t="s">
        <v>284</v>
      </c>
      <c r="E97" s="14">
        <v>0.75</v>
      </c>
      <c r="F97" s="15">
        <v>1</v>
      </c>
      <c r="G97" s="14">
        <v>10</v>
      </c>
      <c r="H97" s="15">
        <v>7</v>
      </c>
      <c r="I97" s="27" t="s">
        <v>136</v>
      </c>
      <c r="J97" s="28">
        <v>2900</v>
      </c>
      <c r="K97" s="38" t="s">
        <v>137</v>
      </c>
      <c r="L97" s="39">
        <v>44</v>
      </c>
      <c r="M97" s="42">
        <f>0.3*0.31*0.61</f>
        <v>5.6729999999999996E-2</v>
      </c>
      <c r="N97" s="73">
        <v>606.18600000000004</v>
      </c>
      <c r="O97" s="73">
        <v>770.40600000000006</v>
      </c>
      <c r="P97" s="223"/>
      <c r="Q97" s="223"/>
      <c r="R97" s="64"/>
      <c r="S97" s="64"/>
    </row>
    <row r="98" spans="3:19" ht="15.75" thickBot="1">
      <c r="C98" s="2"/>
      <c r="D98" s="72" t="s">
        <v>285</v>
      </c>
      <c r="E98" s="14">
        <v>0.75</v>
      </c>
      <c r="F98" s="15">
        <v>1</v>
      </c>
      <c r="G98" s="14">
        <v>10</v>
      </c>
      <c r="H98" s="15">
        <v>15</v>
      </c>
      <c r="I98" s="27" t="s">
        <v>136</v>
      </c>
      <c r="J98" s="28">
        <v>2900</v>
      </c>
      <c r="K98" s="38" t="s">
        <v>24</v>
      </c>
      <c r="L98" s="39">
        <v>45</v>
      </c>
      <c r="M98" s="42">
        <f>0.3*0.31*0.61</f>
        <v>5.6729999999999996E-2</v>
      </c>
      <c r="N98" s="73">
        <v>638.673</v>
      </c>
      <c r="O98" s="73">
        <v>800.39399999999989</v>
      </c>
      <c r="P98" s="223"/>
      <c r="Q98" s="223"/>
      <c r="R98" s="64"/>
      <c r="S98" s="64"/>
    </row>
    <row r="99" spans="3:19" ht="15.75" thickBot="1">
      <c r="C99" s="2"/>
      <c r="D99" s="72" t="s">
        <v>286</v>
      </c>
      <c r="E99" s="14">
        <v>1.1000000000000001</v>
      </c>
      <c r="F99" s="15">
        <v>1.5</v>
      </c>
      <c r="G99" s="14">
        <v>10</v>
      </c>
      <c r="H99" s="15">
        <v>23</v>
      </c>
      <c r="I99" s="27" t="s">
        <v>136</v>
      </c>
      <c r="J99" s="28">
        <v>2900</v>
      </c>
      <c r="K99" s="38" t="s">
        <v>26</v>
      </c>
      <c r="L99" s="39">
        <v>47</v>
      </c>
      <c r="M99" s="42">
        <f>0.3*0.31*0.64</f>
        <v>5.9520000000000003E-2</v>
      </c>
      <c r="N99" s="73">
        <v>711.14399999999989</v>
      </c>
      <c r="O99" s="73">
        <v>875.36399999999992</v>
      </c>
      <c r="P99" s="223"/>
      <c r="Q99" s="223"/>
      <c r="R99" s="64"/>
      <c r="S99" s="64"/>
    </row>
    <row r="100" spans="3:19" ht="15.75" thickBot="1">
      <c r="C100" s="2"/>
      <c r="D100" s="72" t="s">
        <v>287</v>
      </c>
      <c r="E100" s="14">
        <v>1.5</v>
      </c>
      <c r="F100" s="15">
        <v>2</v>
      </c>
      <c r="G100" s="14">
        <v>10</v>
      </c>
      <c r="H100" s="15">
        <v>31</v>
      </c>
      <c r="I100" s="27" t="s">
        <v>136</v>
      </c>
      <c r="J100" s="28">
        <v>2900</v>
      </c>
      <c r="K100" s="38" t="s">
        <v>28</v>
      </c>
      <c r="L100" s="39">
        <v>54</v>
      </c>
      <c r="M100" s="42">
        <f>0.32*0.31*0.73</f>
        <v>7.2415999999999994E-2</v>
      </c>
      <c r="N100" s="73">
        <v>831.45299999999997</v>
      </c>
      <c r="O100" s="73">
        <v>990.67500000000007</v>
      </c>
      <c r="P100" s="223"/>
      <c r="Q100" s="223"/>
      <c r="R100" s="64"/>
      <c r="S100" s="64"/>
    </row>
    <row r="101" spans="3:19" ht="15.75" thickBot="1">
      <c r="C101" s="2"/>
      <c r="D101" s="72" t="s">
        <v>288</v>
      </c>
      <c r="E101" s="14">
        <v>2.2000000000000002</v>
      </c>
      <c r="F101" s="15">
        <v>3</v>
      </c>
      <c r="G101" s="14">
        <v>10</v>
      </c>
      <c r="H101" s="15">
        <v>39</v>
      </c>
      <c r="I101" s="27" t="s">
        <v>136</v>
      </c>
      <c r="J101" s="28">
        <v>2900</v>
      </c>
      <c r="K101" s="38" t="s">
        <v>30</v>
      </c>
      <c r="L101" s="39">
        <v>58</v>
      </c>
      <c r="M101" s="42">
        <f>0.32*0.31*0.76</f>
        <v>7.5392000000000001E-2</v>
      </c>
      <c r="N101" s="73">
        <v>884.28899999999999</v>
      </c>
      <c r="O101" s="73">
        <v>1042.7970000000003</v>
      </c>
      <c r="P101" s="223"/>
      <c r="Q101" s="223"/>
      <c r="R101" s="64"/>
      <c r="S101" s="64"/>
    </row>
    <row r="102" spans="3:19" ht="15.75" thickBot="1">
      <c r="C102" s="2"/>
      <c r="D102" s="72" t="s">
        <v>289</v>
      </c>
      <c r="E102" s="14">
        <v>2.2000000000000002</v>
      </c>
      <c r="F102" s="15">
        <v>3</v>
      </c>
      <c r="G102" s="14">
        <v>10</v>
      </c>
      <c r="H102" s="15">
        <v>48</v>
      </c>
      <c r="I102" s="27" t="s">
        <v>136</v>
      </c>
      <c r="J102" s="28">
        <v>2900</v>
      </c>
      <c r="K102" s="38" t="s">
        <v>32</v>
      </c>
      <c r="L102" s="39">
        <v>59</v>
      </c>
      <c r="M102" s="42">
        <f>0.32*0.31*0.79</f>
        <v>7.8368000000000007E-2</v>
      </c>
      <c r="N102" s="73">
        <v>933.91200000000015</v>
      </c>
      <c r="O102" s="73">
        <v>1098.1320000000001</v>
      </c>
      <c r="P102" s="223"/>
      <c r="Q102" s="223"/>
      <c r="R102" s="64"/>
      <c r="S102" s="64"/>
    </row>
    <row r="103" spans="3:19" ht="15.75" thickBot="1">
      <c r="C103" s="2"/>
      <c r="D103" s="72" t="s">
        <v>290</v>
      </c>
      <c r="E103" s="14">
        <v>3</v>
      </c>
      <c r="F103" s="15">
        <v>4</v>
      </c>
      <c r="G103" s="14">
        <v>10</v>
      </c>
      <c r="H103" s="15">
        <v>56</v>
      </c>
      <c r="I103" s="27" t="s">
        <v>136</v>
      </c>
      <c r="J103" s="28">
        <v>2900</v>
      </c>
      <c r="K103" s="38" t="s">
        <v>34</v>
      </c>
      <c r="L103" s="39">
        <v>70</v>
      </c>
      <c r="M103" s="42">
        <f>0.33*0.31*0.88</f>
        <v>9.0024000000000007E-2</v>
      </c>
      <c r="N103" s="73">
        <v>1109.9129999999998</v>
      </c>
      <c r="O103" s="73">
        <v>1273.4190000000001</v>
      </c>
      <c r="P103" s="223"/>
      <c r="Q103" s="223"/>
      <c r="R103" s="64"/>
      <c r="S103" s="64"/>
    </row>
    <row r="104" spans="3:19" ht="15.75" thickBot="1">
      <c r="C104" s="2"/>
      <c r="D104" s="72" t="s">
        <v>291</v>
      </c>
      <c r="E104" s="14">
        <v>3</v>
      </c>
      <c r="F104" s="15">
        <v>4</v>
      </c>
      <c r="G104" s="14">
        <v>10</v>
      </c>
      <c r="H104" s="15">
        <v>64</v>
      </c>
      <c r="I104" s="27" t="s">
        <v>136</v>
      </c>
      <c r="J104" s="28">
        <v>2900</v>
      </c>
      <c r="K104" s="38" t="s">
        <v>36</v>
      </c>
      <c r="L104" s="39">
        <v>72</v>
      </c>
      <c r="M104" s="42">
        <f>0.33*0.31*0.91</f>
        <v>9.3093000000000009E-2</v>
      </c>
      <c r="N104" s="73">
        <v>1231.6500000000001</v>
      </c>
      <c r="O104" s="73">
        <v>1394.4420000000002</v>
      </c>
      <c r="P104" s="223"/>
      <c r="Q104" s="223"/>
      <c r="R104" s="64"/>
      <c r="S104" s="64"/>
    </row>
    <row r="105" spans="3:19" ht="15.75" thickBot="1">
      <c r="C105" s="2"/>
      <c r="D105" s="72" t="s">
        <v>292</v>
      </c>
      <c r="E105" s="14">
        <v>3</v>
      </c>
      <c r="F105" s="15">
        <v>4</v>
      </c>
      <c r="G105" s="14">
        <v>10</v>
      </c>
      <c r="H105" s="15">
        <v>72</v>
      </c>
      <c r="I105" s="27" t="s">
        <v>136</v>
      </c>
      <c r="J105" s="28">
        <v>2900</v>
      </c>
      <c r="K105" s="38" t="s">
        <v>38</v>
      </c>
      <c r="L105" s="39">
        <v>73</v>
      </c>
      <c r="M105" s="42">
        <f>0.33*0.31*0.94</f>
        <v>9.6161999999999997E-2</v>
      </c>
      <c r="N105" s="73">
        <v>1297.338</v>
      </c>
      <c r="O105" s="73">
        <v>1461.201</v>
      </c>
      <c r="P105" s="223"/>
      <c r="Q105" s="223"/>
      <c r="R105" s="64"/>
      <c r="S105" s="64"/>
    </row>
    <row r="106" spans="3:19" ht="15.75" thickBot="1">
      <c r="C106" s="2"/>
      <c r="D106" s="72" t="s">
        <v>293</v>
      </c>
      <c r="E106" s="14">
        <v>4</v>
      </c>
      <c r="F106" s="15">
        <v>5.5</v>
      </c>
      <c r="G106" s="14">
        <v>10</v>
      </c>
      <c r="H106" s="15">
        <v>80</v>
      </c>
      <c r="I106" s="27" t="s">
        <v>136</v>
      </c>
      <c r="J106" s="28">
        <v>2900</v>
      </c>
      <c r="K106" s="38" t="s">
        <v>40</v>
      </c>
      <c r="L106" s="39">
        <v>81</v>
      </c>
      <c r="M106" s="42">
        <f>0.35*0.31*0.98</f>
        <v>0.10632999999999999</v>
      </c>
      <c r="N106" s="73">
        <v>1378.3770000000002</v>
      </c>
      <c r="O106" s="73">
        <v>1518.3209999999999</v>
      </c>
      <c r="P106" s="223"/>
      <c r="Q106" s="223"/>
      <c r="R106" s="64"/>
      <c r="S106" s="64"/>
    </row>
    <row r="107" spans="3:19" ht="15.75" thickBot="1">
      <c r="C107" s="2"/>
      <c r="D107" s="72" t="s">
        <v>294</v>
      </c>
      <c r="E107" s="14">
        <v>4</v>
      </c>
      <c r="F107" s="15">
        <v>5.5</v>
      </c>
      <c r="G107" s="14">
        <v>10</v>
      </c>
      <c r="H107" s="15">
        <v>96</v>
      </c>
      <c r="I107" s="27" t="s">
        <v>136</v>
      </c>
      <c r="J107" s="28">
        <v>2900</v>
      </c>
      <c r="K107" s="38" t="s">
        <v>44</v>
      </c>
      <c r="L107" s="39">
        <v>84</v>
      </c>
      <c r="M107" s="42">
        <f>0.35*0.31*1.04</f>
        <v>0.11284000000000001</v>
      </c>
      <c r="N107" s="73">
        <v>1587.9359999999999</v>
      </c>
      <c r="O107" s="73">
        <v>1724.31</v>
      </c>
      <c r="P107" s="223"/>
      <c r="Q107" s="223"/>
      <c r="R107" s="64"/>
      <c r="S107" s="64"/>
    </row>
    <row r="108" spans="3:19" ht="15.75" thickBot="1">
      <c r="C108" s="2"/>
      <c r="D108" s="72" t="s">
        <v>295</v>
      </c>
      <c r="E108" s="14">
        <v>5.5</v>
      </c>
      <c r="F108" s="15">
        <v>7.5</v>
      </c>
      <c r="G108" s="14">
        <v>10</v>
      </c>
      <c r="H108" s="15">
        <v>113</v>
      </c>
      <c r="I108" s="27" t="s">
        <v>136</v>
      </c>
      <c r="J108" s="28">
        <v>2900</v>
      </c>
      <c r="K108" s="38" t="s">
        <v>86</v>
      </c>
      <c r="L108" s="39">
        <v>109</v>
      </c>
      <c r="M108" s="42">
        <f>0.37*0.31*1.16</f>
        <v>0.13305199999999998</v>
      </c>
      <c r="N108" s="73">
        <v>1736.8050000000001</v>
      </c>
      <c r="O108" s="73">
        <v>1868.1809999999998</v>
      </c>
      <c r="P108" s="223"/>
      <c r="Q108" s="223"/>
      <c r="R108" s="64"/>
      <c r="S108" s="64"/>
    </row>
    <row r="109" spans="3:19" ht="15.75" thickBot="1">
      <c r="C109" s="2"/>
      <c r="D109" s="72" t="s">
        <v>296</v>
      </c>
      <c r="E109" s="14">
        <v>5.5</v>
      </c>
      <c r="F109" s="15">
        <v>7.5</v>
      </c>
      <c r="G109" s="14">
        <v>10</v>
      </c>
      <c r="H109" s="15">
        <v>129</v>
      </c>
      <c r="I109" s="27" t="s">
        <v>136</v>
      </c>
      <c r="J109" s="28">
        <v>2900</v>
      </c>
      <c r="K109" s="38" t="s">
        <v>89</v>
      </c>
      <c r="L109" s="39">
        <v>112</v>
      </c>
      <c r="M109" s="42">
        <f>0.37*0.31*1.22</f>
        <v>0.139934</v>
      </c>
      <c r="N109" s="73">
        <v>1911.3779999999999</v>
      </c>
      <c r="O109" s="73">
        <v>2042.3970000000002</v>
      </c>
      <c r="P109" s="223"/>
      <c r="Q109" s="223"/>
      <c r="R109" s="64"/>
      <c r="S109" s="64"/>
    </row>
    <row r="110" spans="3:19" ht="15.75" thickBot="1">
      <c r="C110" s="2"/>
      <c r="D110" s="72" t="s">
        <v>297</v>
      </c>
      <c r="E110" s="14">
        <v>7.5</v>
      </c>
      <c r="F110" s="15">
        <v>10</v>
      </c>
      <c r="G110" s="14">
        <v>10</v>
      </c>
      <c r="H110" s="15">
        <v>145</v>
      </c>
      <c r="I110" s="27" t="s">
        <v>136</v>
      </c>
      <c r="J110" s="28">
        <v>2900</v>
      </c>
      <c r="K110" s="38" t="s">
        <v>91</v>
      </c>
      <c r="L110" s="39">
        <v>117</v>
      </c>
      <c r="M110" s="42">
        <f>0.37*0.31*1.28</f>
        <v>0.146816</v>
      </c>
      <c r="N110" s="73">
        <v>2017.4070000000002</v>
      </c>
      <c r="O110" s="73">
        <v>2149.14</v>
      </c>
      <c r="P110" s="223"/>
      <c r="Q110" s="223"/>
      <c r="R110" s="64"/>
      <c r="S110" s="64"/>
    </row>
    <row r="111" spans="3:19" ht="15.75" thickBot="1">
      <c r="C111" s="2"/>
      <c r="D111" s="72" t="s">
        <v>298</v>
      </c>
      <c r="E111" s="14">
        <v>7.5</v>
      </c>
      <c r="F111" s="15">
        <v>10</v>
      </c>
      <c r="G111" s="14">
        <v>10</v>
      </c>
      <c r="H111" s="15">
        <v>162</v>
      </c>
      <c r="I111" s="27" t="s">
        <v>136</v>
      </c>
      <c r="J111" s="28">
        <v>2900</v>
      </c>
      <c r="K111" s="38" t="s">
        <v>94</v>
      </c>
      <c r="L111" s="39">
        <v>120</v>
      </c>
      <c r="M111" s="42">
        <f>0.37*0.31*1.34</f>
        <v>0.153698</v>
      </c>
      <c r="N111" s="73">
        <v>2116.6530000000002</v>
      </c>
      <c r="O111" s="73">
        <v>2248.386</v>
      </c>
      <c r="P111" s="223"/>
      <c r="Q111" s="223"/>
      <c r="R111" s="64"/>
      <c r="S111" s="64"/>
    </row>
    <row r="112" spans="3:19" ht="15.75" thickBot="1">
      <c r="C112" s="2"/>
      <c r="D112" s="72" t="s">
        <v>299</v>
      </c>
      <c r="E112" s="14">
        <v>7.5</v>
      </c>
      <c r="F112" s="15">
        <v>10</v>
      </c>
      <c r="G112" s="14">
        <v>10</v>
      </c>
      <c r="H112" s="15">
        <v>178</v>
      </c>
      <c r="I112" s="27" t="s">
        <v>136</v>
      </c>
      <c r="J112" s="28">
        <v>2900</v>
      </c>
      <c r="K112" s="38" t="s">
        <v>56</v>
      </c>
      <c r="L112" s="39">
        <v>122</v>
      </c>
      <c r="M112" s="42">
        <f>0.37*0.31*1.4</f>
        <v>0.16057999999999997</v>
      </c>
      <c r="N112" s="73">
        <v>2647.1550000000002</v>
      </c>
      <c r="O112" s="73">
        <v>2778.1740000000004</v>
      </c>
      <c r="P112" s="223"/>
      <c r="Q112" s="223"/>
      <c r="R112" s="64"/>
      <c r="S112" s="64"/>
    </row>
    <row r="113" spans="3:19" ht="15.75" thickBot="1">
      <c r="C113" s="2"/>
      <c r="D113" s="72" t="s">
        <v>300</v>
      </c>
      <c r="E113" s="14">
        <v>1.5</v>
      </c>
      <c r="F113" s="15">
        <v>2</v>
      </c>
      <c r="G113" s="14">
        <v>12</v>
      </c>
      <c r="H113" s="15">
        <v>20</v>
      </c>
      <c r="I113" s="27" t="s">
        <v>160</v>
      </c>
      <c r="J113" s="28">
        <v>2900</v>
      </c>
      <c r="K113" s="38" t="s">
        <v>24</v>
      </c>
      <c r="L113" s="39">
        <v>44</v>
      </c>
      <c r="M113" s="42">
        <f>0.33*0.31*0.68</f>
        <v>6.9564000000000001E-2</v>
      </c>
      <c r="N113" s="73">
        <v>718.64100000000008</v>
      </c>
      <c r="O113" s="73">
        <v>851.80200000000002</v>
      </c>
      <c r="P113" s="223"/>
      <c r="Q113" s="223"/>
      <c r="R113" s="64"/>
      <c r="S113" s="64"/>
    </row>
    <row r="114" spans="3:19" ht="15.75" thickBot="1">
      <c r="C114" s="2"/>
      <c r="D114" s="72" t="s">
        <v>301</v>
      </c>
      <c r="E114" s="14">
        <v>2.2000000000000002</v>
      </c>
      <c r="F114" s="15">
        <v>3</v>
      </c>
      <c r="G114" s="14">
        <v>12</v>
      </c>
      <c r="H114" s="15">
        <v>30</v>
      </c>
      <c r="I114" s="27" t="s">
        <v>160</v>
      </c>
      <c r="J114" s="28">
        <v>2900</v>
      </c>
      <c r="K114" s="38" t="s">
        <v>26</v>
      </c>
      <c r="L114" s="39">
        <v>48</v>
      </c>
      <c r="M114" s="42">
        <f>0.33*0.31*0.71</f>
        <v>7.2633000000000003E-2</v>
      </c>
      <c r="N114" s="73">
        <v>770.76300000000003</v>
      </c>
      <c r="O114" s="73">
        <v>903.92399999999998</v>
      </c>
      <c r="P114" s="223"/>
      <c r="Q114" s="223"/>
      <c r="R114" s="64"/>
      <c r="S114" s="64"/>
    </row>
    <row r="115" spans="3:19" ht="15.75" thickBot="1">
      <c r="C115" s="2"/>
      <c r="D115" s="72" t="s">
        <v>302</v>
      </c>
      <c r="E115" s="14">
        <v>3</v>
      </c>
      <c r="F115" s="15">
        <v>4</v>
      </c>
      <c r="G115" s="14">
        <v>12</v>
      </c>
      <c r="H115" s="15">
        <v>40</v>
      </c>
      <c r="I115" s="27" t="s">
        <v>160</v>
      </c>
      <c r="J115" s="28">
        <v>2900</v>
      </c>
      <c r="K115" s="38" t="s">
        <v>28</v>
      </c>
      <c r="L115" s="39">
        <v>57</v>
      </c>
      <c r="M115" s="42">
        <f>0.34*0.31*0.8</f>
        <v>8.4320000000000006E-2</v>
      </c>
      <c r="N115" s="73">
        <v>974.96700000000021</v>
      </c>
      <c r="O115" s="73">
        <v>1131.3329999999999</v>
      </c>
      <c r="P115" s="223"/>
      <c r="Q115" s="223"/>
      <c r="R115" s="64"/>
      <c r="S115" s="64"/>
    </row>
    <row r="116" spans="3:19" ht="15.75" thickBot="1">
      <c r="C116" s="2"/>
      <c r="D116" s="72" t="s">
        <v>303</v>
      </c>
      <c r="E116" s="14">
        <v>3</v>
      </c>
      <c r="F116" s="15">
        <v>4</v>
      </c>
      <c r="G116" s="14">
        <v>12</v>
      </c>
      <c r="H116" s="15">
        <v>50</v>
      </c>
      <c r="I116" s="27" t="s">
        <v>160</v>
      </c>
      <c r="J116" s="28">
        <v>2900</v>
      </c>
      <c r="K116" s="38" t="s">
        <v>30</v>
      </c>
      <c r="L116" s="39">
        <v>59</v>
      </c>
      <c r="M116" s="42">
        <f>0.34*0.31*0.83</f>
        <v>8.7482000000000004E-2</v>
      </c>
      <c r="N116" s="73">
        <v>1001.0279999999999</v>
      </c>
      <c r="O116" s="73">
        <v>1156.68</v>
      </c>
      <c r="P116" s="223"/>
      <c r="Q116" s="223"/>
      <c r="R116" s="64"/>
      <c r="S116" s="64"/>
    </row>
    <row r="117" spans="3:19" ht="15.75" thickBot="1">
      <c r="C117" s="16"/>
      <c r="D117" s="72" t="s">
        <v>304</v>
      </c>
      <c r="E117" s="14">
        <v>4</v>
      </c>
      <c r="F117" s="15">
        <v>5.5</v>
      </c>
      <c r="G117" s="14">
        <v>12</v>
      </c>
      <c r="H117" s="15">
        <v>60</v>
      </c>
      <c r="I117" s="27" t="s">
        <v>160</v>
      </c>
      <c r="J117" s="28">
        <v>2900</v>
      </c>
      <c r="K117" s="38" t="s">
        <v>32</v>
      </c>
      <c r="L117" s="39">
        <v>68</v>
      </c>
      <c r="M117" s="42">
        <f>0.36*0.31*0.87</f>
        <v>9.7091999999999998E-2</v>
      </c>
      <c r="N117" s="73">
        <v>1129.905</v>
      </c>
      <c r="O117" s="73">
        <v>1293.4110000000001</v>
      </c>
      <c r="P117" s="223"/>
      <c r="Q117" s="223"/>
      <c r="R117" s="64"/>
      <c r="S117" s="64"/>
    </row>
    <row r="118" spans="3:19" ht="15.75" thickBot="1">
      <c r="C118" s="2"/>
      <c r="D118" s="72" t="s">
        <v>305</v>
      </c>
      <c r="E118" s="14">
        <v>5.5</v>
      </c>
      <c r="F118" s="15">
        <v>7.5</v>
      </c>
      <c r="G118" s="14">
        <v>12</v>
      </c>
      <c r="H118" s="15">
        <v>70</v>
      </c>
      <c r="I118" s="27" t="s">
        <v>160</v>
      </c>
      <c r="J118" s="28">
        <v>2900</v>
      </c>
      <c r="K118" s="38" t="s">
        <v>34</v>
      </c>
      <c r="L118" s="39">
        <v>81</v>
      </c>
      <c r="M118" s="42">
        <f>0.38*0.31*0.96</f>
        <v>0.11308799999999999</v>
      </c>
      <c r="N118" s="73">
        <v>1468.3409999999999</v>
      </c>
      <c r="O118" s="73">
        <v>1631.8470000000002</v>
      </c>
      <c r="P118" s="223"/>
      <c r="Q118" s="223"/>
      <c r="R118" s="64"/>
      <c r="S118" s="64"/>
    </row>
    <row r="119" spans="3:19" ht="15.75" thickBot="1">
      <c r="C119" s="2"/>
      <c r="D119" s="72" t="s">
        <v>306</v>
      </c>
      <c r="E119" s="14">
        <v>5.5</v>
      </c>
      <c r="F119" s="15">
        <v>7.5</v>
      </c>
      <c r="G119" s="14">
        <v>12</v>
      </c>
      <c r="H119" s="15">
        <v>80</v>
      </c>
      <c r="I119" s="27" t="s">
        <v>160</v>
      </c>
      <c r="J119" s="28">
        <v>2900</v>
      </c>
      <c r="K119" s="38" t="s">
        <v>36</v>
      </c>
      <c r="L119" s="39">
        <v>82</v>
      </c>
      <c r="M119" s="42">
        <f>0.38*0.31*0.99</f>
        <v>0.116622</v>
      </c>
      <c r="N119" s="73">
        <v>1492.26</v>
      </c>
      <c r="O119" s="73">
        <v>1655.4090000000001</v>
      </c>
      <c r="P119" s="223"/>
      <c r="Q119" s="223"/>
      <c r="R119" s="64"/>
      <c r="S119" s="64"/>
    </row>
    <row r="120" spans="3:19" ht="15.75" thickBot="1">
      <c r="C120" s="2"/>
      <c r="D120" s="72" t="s">
        <v>307</v>
      </c>
      <c r="E120" s="14">
        <v>5.5</v>
      </c>
      <c r="F120" s="15">
        <v>7.5</v>
      </c>
      <c r="G120" s="14">
        <v>12</v>
      </c>
      <c r="H120" s="15">
        <v>91</v>
      </c>
      <c r="I120" s="27" t="s">
        <v>160</v>
      </c>
      <c r="J120" s="28">
        <v>2900</v>
      </c>
      <c r="K120" s="38" t="s">
        <v>38</v>
      </c>
      <c r="L120" s="39">
        <v>84</v>
      </c>
      <c r="M120" s="42">
        <f>0.38*0.31*1.02</f>
        <v>0.120156</v>
      </c>
      <c r="N120" s="73">
        <v>1518.3209999999999</v>
      </c>
      <c r="O120" s="73">
        <v>1682.5409999999999</v>
      </c>
      <c r="P120" s="223"/>
      <c r="Q120" s="223"/>
      <c r="R120" s="64"/>
      <c r="S120" s="64"/>
    </row>
    <row r="121" spans="3:19" ht="15.75" thickBot="1">
      <c r="C121" s="2"/>
      <c r="D121" s="72" t="s">
        <v>308</v>
      </c>
      <c r="E121" s="14">
        <v>7.5</v>
      </c>
      <c r="F121" s="15">
        <v>10</v>
      </c>
      <c r="G121" s="14">
        <v>12</v>
      </c>
      <c r="H121" s="15">
        <v>101</v>
      </c>
      <c r="I121" s="27" t="s">
        <v>160</v>
      </c>
      <c r="J121" s="28">
        <v>2900</v>
      </c>
      <c r="K121" s="38" t="s">
        <v>40</v>
      </c>
      <c r="L121" s="39">
        <v>92</v>
      </c>
      <c r="M121" s="42">
        <f>0.38*0.31*1.05</f>
        <v>0.12369000000000001</v>
      </c>
      <c r="N121" s="73">
        <v>1607.5709999999999</v>
      </c>
      <c r="O121" s="73">
        <v>1771.7909999999999</v>
      </c>
      <c r="P121" s="223"/>
      <c r="Q121" s="223"/>
      <c r="R121" s="64"/>
      <c r="S121" s="64"/>
    </row>
    <row r="122" spans="3:19" ht="15.75" thickBot="1">
      <c r="C122" s="2"/>
      <c r="D122" s="72" t="s">
        <v>309</v>
      </c>
      <c r="E122" s="14">
        <v>7.5</v>
      </c>
      <c r="F122" s="15">
        <v>10</v>
      </c>
      <c r="G122" s="14">
        <v>12</v>
      </c>
      <c r="H122" s="15">
        <v>121</v>
      </c>
      <c r="I122" s="27" t="s">
        <v>160</v>
      </c>
      <c r="J122" s="28">
        <v>2900</v>
      </c>
      <c r="K122" s="38" t="s">
        <v>44</v>
      </c>
      <c r="L122" s="39">
        <v>96</v>
      </c>
      <c r="M122" s="42">
        <f>0.38*0.31*1.11</f>
        <v>0.13075800000000001</v>
      </c>
      <c r="N122" s="73">
        <v>1666.4759999999999</v>
      </c>
      <c r="O122" s="73">
        <v>1829.2679999999998</v>
      </c>
      <c r="P122" s="223"/>
      <c r="Q122" s="223"/>
      <c r="R122" s="64"/>
      <c r="S122" s="64"/>
    </row>
    <row r="123" spans="3:19" ht="15.75" thickBot="1">
      <c r="C123" s="2"/>
      <c r="D123" s="72" t="s">
        <v>310</v>
      </c>
      <c r="E123" s="14">
        <v>11</v>
      </c>
      <c r="F123" s="15">
        <v>15</v>
      </c>
      <c r="G123" s="14">
        <v>12</v>
      </c>
      <c r="H123" s="15">
        <v>141</v>
      </c>
      <c r="I123" s="27" t="s">
        <v>160</v>
      </c>
      <c r="J123" s="28">
        <v>2900</v>
      </c>
      <c r="K123" s="38" t="s">
        <v>86</v>
      </c>
      <c r="L123" s="39">
        <v>170</v>
      </c>
      <c r="M123" s="42">
        <f>0.43*0.31*1.37</f>
        <v>0.18262100000000001</v>
      </c>
      <c r="N123" s="73">
        <v>2543.625</v>
      </c>
      <c r="O123" s="73">
        <v>2716.77</v>
      </c>
      <c r="P123" s="223"/>
      <c r="Q123" s="223"/>
      <c r="R123" s="64"/>
      <c r="S123" s="64"/>
    </row>
    <row r="124" spans="3:19" ht="15.75" thickBot="1">
      <c r="C124" s="2"/>
      <c r="D124" s="72" t="s">
        <v>311</v>
      </c>
      <c r="E124" s="14">
        <v>11</v>
      </c>
      <c r="F124" s="15">
        <v>15</v>
      </c>
      <c r="G124" s="14">
        <v>12</v>
      </c>
      <c r="H124" s="15">
        <v>162</v>
      </c>
      <c r="I124" s="27" t="s">
        <v>160</v>
      </c>
      <c r="J124" s="28">
        <v>2900</v>
      </c>
      <c r="K124" s="38" t="s">
        <v>89</v>
      </c>
      <c r="L124" s="39">
        <v>174</v>
      </c>
      <c r="M124" s="42">
        <f>0.43*0.31*1.43</f>
        <v>0.19061899999999998</v>
      </c>
      <c r="N124" s="73">
        <v>2597.5320000000002</v>
      </c>
      <c r="O124" s="73">
        <v>2770.32</v>
      </c>
      <c r="P124" s="223"/>
      <c r="Q124" s="223"/>
      <c r="R124" s="64"/>
      <c r="S124" s="64"/>
    </row>
    <row r="125" spans="3:19" ht="15.75" thickBot="1">
      <c r="C125" s="2"/>
      <c r="D125" s="72" t="s">
        <v>312</v>
      </c>
      <c r="E125" s="14">
        <v>11</v>
      </c>
      <c r="F125" s="15">
        <v>15</v>
      </c>
      <c r="G125" s="14">
        <v>12</v>
      </c>
      <c r="H125" s="15">
        <v>183</v>
      </c>
      <c r="I125" s="27" t="s">
        <v>160</v>
      </c>
      <c r="J125" s="28">
        <v>2900</v>
      </c>
      <c r="K125" s="38" t="s">
        <v>91</v>
      </c>
      <c r="L125" s="39">
        <v>178</v>
      </c>
      <c r="M125" s="42">
        <f>0.43*0.31*1.49</f>
        <v>0.19861699999999999</v>
      </c>
      <c r="N125" s="73">
        <v>2691.4230000000002</v>
      </c>
      <c r="O125" s="73">
        <v>2863.4969999999998</v>
      </c>
      <c r="P125" s="223"/>
      <c r="Q125" s="223"/>
      <c r="R125" s="64"/>
      <c r="S125" s="64"/>
    </row>
    <row r="126" spans="3:19" ht="15.75" thickBot="1">
      <c r="C126" s="2"/>
      <c r="D126" s="72" t="s">
        <v>313</v>
      </c>
      <c r="E126" s="14">
        <v>2.2000000000000002</v>
      </c>
      <c r="F126" s="15">
        <v>3</v>
      </c>
      <c r="G126" s="14">
        <v>16</v>
      </c>
      <c r="H126" s="15">
        <v>22</v>
      </c>
      <c r="I126" s="27" t="s">
        <v>160</v>
      </c>
      <c r="J126" s="28">
        <v>2900</v>
      </c>
      <c r="K126" s="38" t="s">
        <v>24</v>
      </c>
      <c r="L126" s="39">
        <v>47</v>
      </c>
      <c r="M126" s="42">
        <f>0.33*0.31*0.71</f>
        <v>7.2633000000000003E-2</v>
      </c>
      <c r="N126" s="73">
        <v>894.64200000000005</v>
      </c>
      <c r="O126" s="73">
        <v>1058.8620000000001</v>
      </c>
      <c r="P126" s="223"/>
      <c r="Q126" s="223"/>
      <c r="R126" s="64"/>
      <c r="S126" s="64"/>
    </row>
    <row r="127" spans="3:19" ht="15.75" thickBot="1">
      <c r="C127" s="2"/>
      <c r="D127" s="72" t="s">
        <v>314</v>
      </c>
      <c r="E127" s="14">
        <v>3</v>
      </c>
      <c r="F127" s="15">
        <v>4</v>
      </c>
      <c r="G127" s="14">
        <v>16</v>
      </c>
      <c r="H127" s="15">
        <v>34</v>
      </c>
      <c r="I127" s="27" t="s">
        <v>160</v>
      </c>
      <c r="J127" s="28">
        <v>2900</v>
      </c>
      <c r="K127" s="38" t="s">
        <v>26</v>
      </c>
      <c r="L127" s="39">
        <v>56</v>
      </c>
      <c r="M127" s="42">
        <f>0.34*0.31*0.82</f>
        <v>8.6428000000000005E-2</v>
      </c>
      <c r="N127" s="73">
        <v>1027.0889999999999</v>
      </c>
      <c r="O127" s="73">
        <v>1192.0229999999999</v>
      </c>
      <c r="P127" s="223"/>
      <c r="Q127" s="223"/>
      <c r="R127" s="64"/>
      <c r="S127" s="64"/>
    </row>
    <row r="128" spans="3:19" ht="15.75" thickBot="1">
      <c r="C128" s="2"/>
      <c r="D128" s="72" t="s">
        <v>315</v>
      </c>
      <c r="E128" s="14">
        <v>4</v>
      </c>
      <c r="F128" s="15">
        <v>5.5</v>
      </c>
      <c r="G128" s="14">
        <v>16</v>
      </c>
      <c r="H128" s="15">
        <v>46</v>
      </c>
      <c r="I128" s="27" t="s">
        <v>160</v>
      </c>
      <c r="J128" s="28">
        <v>2900</v>
      </c>
      <c r="K128" s="38" t="s">
        <v>28</v>
      </c>
      <c r="L128" s="39">
        <v>66</v>
      </c>
      <c r="M128" s="42">
        <f>0.36*0.31*0.87</f>
        <v>9.7091999999999998E-2</v>
      </c>
      <c r="N128" s="73">
        <v>1116.3390000000002</v>
      </c>
      <c r="O128" s="73">
        <v>1280.559</v>
      </c>
      <c r="P128" s="223"/>
      <c r="Q128" s="223"/>
      <c r="R128" s="64"/>
      <c r="S128" s="64"/>
    </row>
    <row r="129" spans="3:19" ht="15.75" thickBot="1">
      <c r="C129" s="2"/>
      <c r="D129" s="72" t="s">
        <v>316</v>
      </c>
      <c r="E129" s="14">
        <v>5.5</v>
      </c>
      <c r="F129" s="15">
        <v>7.5</v>
      </c>
      <c r="G129" s="14">
        <v>16</v>
      </c>
      <c r="H129" s="15">
        <v>58</v>
      </c>
      <c r="I129" s="27" t="s">
        <v>160</v>
      </c>
      <c r="J129" s="28">
        <v>2900</v>
      </c>
      <c r="K129" s="38" t="s">
        <v>30</v>
      </c>
      <c r="L129" s="39">
        <v>84</v>
      </c>
      <c r="M129" s="42">
        <f>0.38*0.31*0.97</f>
        <v>0.11426599999999999</v>
      </c>
      <c r="N129" s="73">
        <v>1434.4259999999999</v>
      </c>
      <c r="O129" s="73">
        <v>1597.2179999999998</v>
      </c>
      <c r="P129" s="223"/>
      <c r="Q129" s="223"/>
      <c r="R129" s="64"/>
      <c r="S129" s="64"/>
    </row>
    <row r="130" spans="3:19" ht="15.75" thickBot="1">
      <c r="C130" s="2"/>
      <c r="D130" s="72" t="s">
        <v>317</v>
      </c>
      <c r="E130" s="14">
        <v>5.5</v>
      </c>
      <c r="F130" s="15">
        <v>7.5</v>
      </c>
      <c r="G130" s="14">
        <v>16</v>
      </c>
      <c r="H130" s="15">
        <v>70</v>
      </c>
      <c r="I130" s="27" t="s">
        <v>160</v>
      </c>
      <c r="J130" s="28">
        <v>2900</v>
      </c>
      <c r="K130" s="38" t="s">
        <v>32</v>
      </c>
      <c r="L130" s="39">
        <v>85</v>
      </c>
      <c r="M130" s="42">
        <f>0.38*0.31*1.02</f>
        <v>0.120156</v>
      </c>
      <c r="N130" s="73">
        <v>1501.5420000000001</v>
      </c>
      <c r="O130" s="73">
        <v>1666.4759999999999</v>
      </c>
      <c r="P130" s="223"/>
      <c r="Q130" s="223"/>
      <c r="R130" s="64"/>
      <c r="S130" s="64"/>
    </row>
    <row r="131" spans="3:19" ht="15.75" thickBot="1">
      <c r="C131" s="2"/>
      <c r="D131" s="72" t="s">
        <v>318</v>
      </c>
      <c r="E131" s="14">
        <v>7.5</v>
      </c>
      <c r="F131" s="15">
        <v>10</v>
      </c>
      <c r="G131" s="14">
        <v>16</v>
      </c>
      <c r="H131" s="15">
        <v>82</v>
      </c>
      <c r="I131" s="27" t="s">
        <v>160</v>
      </c>
      <c r="J131" s="28">
        <v>2900</v>
      </c>
      <c r="K131" s="38" t="s">
        <v>34</v>
      </c>
      <c r="L131" s="39">
        <v>93</v>
      </c>
      <c r="M131" s="42">
        <f>0.38*0.31*1.06</f>
        <v>0.12486800000000001</v>
      </c>
      <c r="N131" s="73">
        <v>1597.2179999999998</v>
      </c>
      <c r="O131" s="73">
        <v>1761.4379999999999</v>
      </c>
      <c r="P131" s="223"/>
      <c r="Q131" s="223"/>
      <c r="R131" s="64"/>
      <c r="S131" s="64"/>
    </row>
    <row r="132" spans="3:19" ht="15.75" thickBot="1">
      <c r="C132" s="2"/>
      <c r="D132" s="72" t="s">
        <v>319</v>
      </c>
      <c r="E132" s="14">
        <v>7.5</v>
      </c>
      <c r="F132" s="15">
        <v>10</v>
      </c>
      <c r="G132" s="14">
        <v>16</v>
      </c>
      <c r="H132" s="15">
        <v>94</v>
      </c>
      <c r="I132" s="27" t="s">
        <v>160</v>
      </c>
      <c r="J132" s="28">
        <v>2900</v>
      </c>
      <c r="K132" s="38" t="s">
        <v>36</v>
      </c>
      <c r="L132" s="39">
        <v>95</v>
      </c>
      <c r="M132" s="42">
        <f>0.38*0.31*1.11</f>
        <v>0.13075800000000001</v>
      </c>
      <c r="N132" s="73">
        <v>1635.7740000000001</v>
      </c>
      <c r="O132" s="73">
        <v>1798.566</v>
      </c>
      <c r="P132" s="223"/>
      <c r="Q132" s="223"/>
      <c r="R132" s="64"/>
      <c r="S132" s="64"/>
    </row>
    <row r="133" spans="3:19" ht="15.75" thickBot="1">
      <c r="C133" s="16"/>
      <c r="D133" s="72" t="s">
        <v>320</v>
      </c>
      <c r="E133" s="14">
        <v>11</v>
      </c>
      <c r="F133" s="15">
        <v>15</v>
      </c>
      <c r="G133" s="14">
        <v>16</v>
      </c>
      <c r="H133" s="15">
        <v>118</v>
      </c>
      <c r="I133" s="27" t="s">
        <v>160</v>
      </c>
      <c r="J133" s="28">
        <v>2900</v>
      </c>
      <c r="K133" s="38" t="s">
        <v>40</v>
      </c>
      <c r="L133" s="39">
        <v>171</v>
      </c>
      <c r="M133" s="42">
        <f>0.43*0.31*1.4</f>
        <v>0.18661999999999998</v>
      </c>
      <c r="N133" s="73">
        <v>2417.6040000000003</v>
      </c>
      <c r="O133" s="73">
        <v>2576.1120000000001</v>
      </c>
      <c r="P133" s="223"/>
      <c r="Q133" s="223"/>
      <c r="R133" s="64"/>
      <c r="S133" s="64"/>
    </row>
    <row r="134" spans="3:19" ht="15.75" thickBot="1">
      <c r="C134" s="2"/>
      <c r="D134" s="72" t="s">
        <v>321</v>
      </c>
      <c r="E134" s="14">
        <v>11</v>
      </c>
      <c r="F134" s="15">
        <v>15</v>
      </c>
      <c r="G134" s="14">
        <v>16</v>
      </c>
      <c r="H134" s="15">
        <v>141</v>
      </c>
      <c r="I134" s="27" t="s">
        <v>160</v>
      </c>
      <c r="J134" s="28">
        <v>2900</v>
      </c>
      <c r="K134" s="38" t="s">
        <v>44</v>
      </c>
      <c r="L134" s="39">
        <v>175</v>
      </c>
      <c r="M134" s="42">
        <f>0.43*0.31*1.49</f>
        <v>0.19861699999999999</v>
      </c>
      <c r="N134" s="73">
        <v>2605.386</v>
      </c>
      <c r="O134" s="73">
        <v>2770.32</v>
      </c>
      <c r="P134" s="223"/>
      <c r="Q134" s="223"/>
      <c r="R134" s="64"/>
      <c r="S134" s="64"/>
    </row>
    <row r="135" spans="3:19" ht="15.75" thickBot="1">
      <c r="C135" s="2"/>
      <c r="D135" s="72" t="s">
        <v>322</v>
      </c>
      <c r="E135" s="14">
        <v>15</v>
      </c>
      <c r="F135" s="15">
        <v>20</v>
      </c>
      <c r="G135" s="14">
        <v>16</v>
      </c>
      <c r="H135" s="15">
        <v>166</v>
      </c>
      <c r="I135" s="27" t="s">
        <v>160</v>
      </c>
      <c r="J135" s="28">
        <v>2900</v>
      </c>
      <c r="K135" s="38" t="s">
        <v>86</v>
      </c>
      <c r="L135" s="39">
        <v>189</v>
      </c>
      <c r="M135" s="42">
        <f>0.43*0.31*1.58</f>
        <v>0.21061400000000002</v>
      </c>
      <c r="N135" s="73">
        <v>2791.7400000000002</v>
      </c>
      <c r="O135" s="73">
        <v>2963.8140000000003</v>
      </c>
      <c r="P135" s="223"/>
      <c r="Q135" s="223"/>
      <c r="R135" s="64"/>
      <c r="S135" s="64"/>
    </row>
    <row r="136" spans="3:19" ht="15.75" thickBot="1">
      <c r="C136" s="2"/>
      <c r="D136" s="72" t="s">
        <v>323</v>
      </c>
      <c r="E136" s="14">
        <v>15</v>
      </c>
      <c r="F136" s="15">
        <v>20</v>
      </c>
      <c r="G136" s="14">
        <v>16</v>
      </c>
      <c r="H136" s="15">
        <v>189</v>
      </c>
      <c r="I136" s="27" t="s">
        <v>160</v>
      </c>
      <c r="J136" s="28">
        <v>2900</v>
      </c>
      <c r="K136" s="38" t="s">
        <v>89</v>
      </c>
      <c r="L136" s="39">
        <v>194</v>
      </c>
      <c r="M136" s="42">
        <f>0.43*0.31*1.67</f>
        <v>0.222611</v>
      </c>
      <c r="N136" s="73">
        <v>2978.808</v>
      </c>
      <c r="O136" s="73">
        <v>3158.7359999999999</v>
      </c>
      <c r="P136" s="223"/>
      <c r="Q136" s="223"/>
      <c r="R136" s="64"/>
      <c r="S136" s="64"/>
    </row>
    <row r="137" spans="3:19" ht="15.75" thickBot="1">
      <c r="C137" s="2"/>
      <c r="D137" s="72" t="s">
        <v>324</v>
      </c>
      <c r="E137" s="14">
        <v>1.1000000000000001</v>
      </c>
      <c r="F137" s="15">
        <v>1.5</v>
      </c>
      <c r="G137" s="14">
        <v>20</v>
      </c>
      <c r="H137" s="15">
        <v>10</v>
      </c>
      <c r="I137" s="27" t="s">
        <v>160</v>
      </c>
      <c r="J137" s="28">
        <v>2900</v>
      </c>
      <c r="K137" s="38" t="s">
        <v>137</v>
      </c>
      <c r="L137" s="39">
        <v>38</v>
      </c>
      <c r="M137" s="42">
        <f>0.32*0.31*0.65</f>
        <v>6.4479999999999996E-2</v>
      </c>
      <c r="N137" s="73">
        <v>819.67200000000003</v>
      </c>
      <c r="O137" s="73">
        <v>946.7639999999999</v>
      </c>
      <c r="P137" s="223"/>
      <c r="Q137" s="223"/>
      <c r="R137" s="64"/>
      <c r="S137" s="64"/>
    </row>
    <row r="138" spans="3:19" ht="15.75" thickBot="1">
      <c r="C138" s="2"/>
      <c r="D138" s="72" t="s">
        <v>325</v>
      </c>
      <c r="E138" s="14">
        <v>2.2000000000000002</v>
      </c>
      <c r="F138" s="15">
        <v>3</v>
      </c>
      <c r="G138" s="14">
        <v>20</v>
      </c>
      <c r="H138" s="15">
        <v>23</v>
      </c>
      <c r="I138" s="27" t="s">
        <v>160</v>
      </c>
      <c r="J138" s="28">
        <v>2900</v>
      </c>
      <c r="K138" s="38" t="s">
        <v>24</v>
      </c>
      <c r="L138" s="39">
        <v>47</v>
      </c>
      <c r="M138" s="42">
        <f>0.33*0.31*0.71</f>
        <v>7.2633000000000003E-2</v>
      </c>
      <c r="N138" s="73">
        <v>946.05000000000007</v>
      </c>
      <c r="O138" s="73">
        <v>1085.6370000000002</v>
      </c>
      <c r="P138" s="223"/>
      <c r="Q138" s="223"/>
      <c r="R138" s="64"/>
      <c r="S138" s="64"/>
    </row>
    <row r="139" spans="3:19" ht="15.75" thickBot="1">
      <c r="C139" s="2"/>
      <c r="D139" s="72" t="s">
        <v>326</v>
      </c>
      <c r="E139" s="14">
        <v>4</v>
      </c>
      <c r="F139" s="15">
        <v>5.5</v>
      </c>
      <c r="G139" s="14">
        <v>20</v>
      </c>
      <c r="H139" s="15">
        <v>35</v>
      </c>
      <c r="I139" s="27" t="s">
        <v>160</v>
      </c>
      <c r="J139" s="28">
        <v>2900</v>
      </c>
      <c r="K139" s="38" t="s">
        <v>26</v>
      </c>
      <c r="L139" s="39">
        <v>64</v>
      </c>
      <c r="M139" s="42">
        <f>0.36*0.31*0.83</f>
        <v>9.2627999999999988E-2</v>
      </c>
      <c r="N139" s="73">
        <v>1082.424</v>
      </c>
      <c r="O139" s="73">
        <v>1245.2159999999999</v>
      </c>
      <c r="P139" s="223"/>
      <c r="Q139" s="223"/>
      <c r="R139" s="64"/>
      <c r="S139" s="64"/>
    </row>
    <row r="140" spans="3:19" ht="15.75" thickBot="1">
      <c r="C140" s="2"/>
      <c r="D140" s="72" t="s">
        <v>327</v>
      </c>
      <c r="E140" s="14">
        <v>5.5</v>
      </c>
      <c r="F140" s="15">
        <v>7.5</v>
      </c>
      <c r="G140" s="14">
        <v>20</v>
      </c>
      <c r="H140" s="15">
        <v>47</v>
      </c>
      <c r="I140" s="27" t="s">
        <v>160</v>
      </c>
      <c r="J140" s="28">
        <v>2900</v>
      </c>
      <c r="K140" s="38" t="s">
        <v>28</v>
      </c>
      <c r="L140" s="39">
        <v>82</v>
      </c>
      <c r="M140" s="42">
        <f>0.38*0.31*0.93</f>
        <v>0.10955400000000001</v>
      </c>
      <c r="N140" s="73">
        <v>1400.511</v>
      </c>
      <c r="O140" s="73">
        <v>1564.0170000000003</v>
      </c>
      <c r="P140" s="223"/>
      <c r="Q140" s="223"/>
      <c r="R140" s="64"/>
      <c r="S140" s="64"/>
    </row>
    <row r="141" spans="3:19" ht="15.75" thickBot="1">
      <c r="C141" s="2"/>
      <c r="D141" s="72" t="s">
        <v>328</v>
      </c>
      <c r="E141" s="14">
        <v>5.5</v>
      </c>
      <c r="F141" s="15">
        <v>7.5</v>
      </c>
      <c r="G141" s="14">
        <v>20</v>
      </c>
      <c r="H141" s="15">
        <v>58</v>
      </c>
      <c r="I141" s="27" t="s">
        <v>160</v>
      </c>
      <c r="J141" s="28">
        <v>2900</v>
      </c>
      <c r="K141" s="38" t="s">
        <v>30</v>
      </c>
      <c r="L141" s="39">
        <v>84</v>
      </c>
      <c r="M141" s="42">
        <f>0.38*0.31*0.97</f>
        <v>0.11426599999999999</v>
      </c>
      <c r="N141" s="73">
        <v>1437.6390000000001</v>
      </c>
      <c r="O141" s="73">
        <v>1601.145</v>
      </c>
      <c r="P141" s="223"/>
      <c r="Q141" s="223"/>
      <c r="R141" s="64"/>
      <c r="S141" s="64"/>
    </row>
    <row r="142" spans="3:19" ht="15.75" thickBot="1">
      <c r="C142" s="2"/>
      <c r="D142" s="72" t="s">
        <v>329</v>
      </c>
      <c r="E142" s="14">
        <v>7.5</v>
      </c>
      <c r="F142" s="15">
        <v>10</v>
      </c>
      <c r="G142" s="14">
        <v>20</v>
      </c>
      <c r="H142" s="15">
        <v>70</v>
      </c>
      <c r="I142" s="27" t="s">
        <v>160</v>
      </c>
      <c r="J142" s="28">
        <v>2900</v>
      </c>
      <c r="K142" s="38" t="s">
        <v>32</v>
      </c>
      <c r="L142" s="39">
        <v>90</v>
      </c>
      <c r="M142" s="42">
        <f>0.38*0.31*1.02</f>
        <v>0.120156</v>
      </c>
      <c r="N142" s="73">
        <v>1566.5160000000001</v>
      </c>
      <c r="O142" s="73">
        <v>1731.45</v>
      </c>
      <c r="P142" s="223"/>
      <c r="Q142" s="223"/>
      <c r="R142" s="64"/>
      <c r="S142" s="64"/>
    </row>
    <row r="143" spans="3:19" ht="15.75" thickBot="1">
      <c r="C143" s="2"/>
      <c r="D143" s="72" t="s">
        <v>330</v>
      </c>
      <c r="E143" s="14">
        <v>7.5</v>
      </c>
      <c r="F143" s="15">
        <v>10</v>
      </c>
      <c r="G143" s="14">
        <v>20</v>
      </c>
      <c r="H143" s="15">
        <v>82</v>
      </c>
      <c r="I143" s="27" t="s">
        <v>160</v>
      </c>
      <c r="J143" s="28">
        <v>2900</v>
      </c>
      <c r="K143" s="38" t="s">
        <v>34</v>
      </c>
      <c r="L143" s="39">
        <v>93</v>
      </c>
      <c r="M143" s="42">
        <f>0.38*0.31*1.06</f>
        <v>0.12486800000000001</v>
      </c>
      <c r="N143" s="73">
        <v>1604.3579999999999</v>
      </c>
      <c r="O143" s="73">
        <v>1768.578</v>
      </c>
      <c r="P143" s="223"/>
      <c r="Q143" s="223"/>
      <c r="R143" s="64"/>
      <c r="S143" s="64"/>
    </row>
    <row r="144" spans="3:19" ht="15.75" thickBot="1">
      <c r="C144" s="2"/>
      <c r="D144" s="72" t="s">
        <v>331</v>
      </c>
      <c r="E144" s="14">
        <v>11</v>
      </c>
      <c r="F144" s="15">
        <v>15</v>
      </c>
      <c r="G144" s="14">
        <v>20</v>
      </c>
      <c r="H144" s="15">
        <v>94</v>
      </c>
      <c r="I144" s="27" t="s">
        <v>160</v>
      </c>
      <c r="J144" s="28">
        <v>2900</v>
      </c>
      <c r="K144" s="38" t="s">
        <v>36</v>
      </c>
      <c r="L144" s="39">
        <v>165</v>
      </c>
      <c r="M144" s="42">
        <f>0.43*0.31*1.31</f>
        <v>0.174623</v>
      </c>
      <c r="N144" s="73">
        <v>2457.5880000000002</v>
      </c>
      <c r="O144" s="73">
        <v>2629.3049999999998</v>
      </c>
      <c r="P144" s="223"/>
      <c r="Q144" s="223"/>
      <c r="R144" s="64"/>
      <c r="S144" s="64"/>
    </row>
    <row r="145" spans="3:19" ht="15.75" thickBot="1">
      <c r="C145" s="2"/>
      <c r="D145" s="72" t="s">
        <v>332</v>
      </c>
      <c r="E145" s="14">
        <v>11</v>
      </c>
      <c r="F145" s="15">
        <v>15</v>
      </c>
      <c r="G145" s="14">
        <v>20</v>
      </c>
      <c r="H145" s="15">
        <v>118</v>
      </c>
      <c r="I145" s="27" t="s">
        <v>160</v>
      </c>
      <c r="J145" s="28">
        <v>2900</v>
      </c>
      <c r="K145" s="38" t="s">
        <v>40</v>
      </c>
      <c r="L145" s="39">
        <v>170</v>
      </c>
      <c r="M145" s="42">
        <f>0.43*0.31*1.4</f>
        <v>0.18661999999999998</v>
      </c>
      <c r="N145" s="73">
        <v>2543.625</v>
      </c>
      <c r="O145" s="73">
        <v>2716.77</v>
      </c>
      <c r="P145" s="223"/>
      <c r="Q145" s="223"/>
      <c r="R145" s="64"/>
      <c r="S145" s="64"/>
    </row>
    <row r="146" spans="3:19" ht="15.75" thickBot="1">
      <c r="C146" s="2"/>
      <c r="D146" s="72" t="s">
        <v>333</v>
      </c>
      <c r="E146" s="14">
        <v>15</v>
      </c>
      <c r="F146" s="15">
        <v>20</v>
      </c>
      <c r="G146" s="14">
        <v>20</v>
      </c>
      <c r="H146" s="15">
        <v>142</v>
      </c>
      <c r="I146" s="27" t="s">
        <v>160</v>
      </c>
      <c r="J146" s="28">
        <v>2900</v>
      </c>
      <c r="K146" s="38" t="s">
        <v>44</v>
      </c>
      <c r="L146" s="39">
        <v>184</v>
      </c>
      <c r="M146" s="42">
        <f>0.43*0.31*1.49</f>
        <v>0.19861699999999999</v>
      </c>
      <c r="N146" s="73">
        <v>2683.5690000000004</v>
      </c>
      <c r="O146" s="73">
        <v>2863.4969999999998</v>
      </c>
      <c r="P146" s="223"/>
      <c r="Q146" s="223"/>
      <c r="R146" s="64"/>
      <c r="S146" s="64"/>
    </row>
    <row r="147" spans="3:19" ht="15.75" thickBot="1">
      <c r="C147" s="2"/>
      <c r="D147" s="72" t="s">
        <v>334</v>
      </c>
      <c r="E147" s="14">
        <v>15</v>
      </c>
      <c r="F147" s="15">
        <v>20</v>
      </c>
      <c r="G147" s="14">
        <v>20</v>
      </c>
      <c r="H147" s="15">
        <v>166</v>
      </c>
      <c r="I147" s="27" t="s">
        <v>160</v>
      </c>
      <c r="J147" s="28">
        <v>2900</v>
      </c>
      <c r="K147" s="38" t="s">
        <v>86</v>
      </c>
      <c r="L147" s="39">
        <v>187</v>
      </c>
      <c r="M147" s="42">
        <f>0.43*0.31*1.58</f>
        <v>0.21061400000000002</v>
      </c>
      <c r="N147" s="73">
        <v>2805.3059999999996</v>
      </c>
      <c r="O147" s="73">
        <v>2987.3759999999997</v>
      </c>
      <c r="P147" s="223"/>
      <c r="Q147" s="223"/>
      <c r="R147" s="64"/>
      <c r="S147" s="64"/>
    </row>
    <row r="148" spans="3:19" ht="15.75" thickBot="1">
      <c r="C148" s="2"/>
      <c r="D148" s="72" t="s">
        <v>335</v>
      </c>
      <c r="E148" s="14">
        <v>18.5</v>
      </c>
      <c r="F148" s="15">
        <v>25</v>
      </c>
      <c r="G148" s="14">
        <v>20</v>
      </c>
      <c r="H148" s="15">
        <v>202</v>
      </c>
      <c r="I148" s="27" t="s">
        <v>160</v>
      </c>
      <c r="J148" s="28">
        <v>2900</v>
      </c>
      <c r="K148" s="38" t="s">
        <v>50</v>
      </c>
      <c r="L148" s="39">
        <v>211</v>
      </c>
      <c r="M148" s="42">
        <f>0.43*0.31*1.76</f>
        <v>0.23460800000000001</v>
      </c>
      <c r="N148" s="73">
        <v>3096.6179999999999</v>
      </c>
      <c r="O148" s="73">
        <v>3277.9740000000002</v>
      </c>
      <c r="P148" s="223"/>
      <c r="Q148" s="223"/>
      <c r="R148" s="64"/>
      <c r="S148" s="64"/>
    </row>
    <row r="149" spans="3:19" ht="15.75" thickBot="1">
      <c r="C149" s="2"/>
      <c r="D149" s="72" t="s">
        <v>336</v>
      </c>
      <c r="E149" s="14">
        <v>1.5</v>
      </c>
      <c r="F149" s="15">
        <v>2</v>
      </c>
      <c r="G149" s="14">
        <v>32</v>
      </c>
      <c r="H149" s="15">
        <v>9</v>
      </c>
      <c r="I149" s="27" t="s">
        <v>337</v>
      </c>
      <c r="J149" s="28">
        <v>2900</v>
      </c>
      <c r="K149" s="38" t="s">
        <v>137</v>
      </c>
      <c r="L149" s="39">
        <v>71</v>
      </c>
      <c r="M149" s="42">
        <f>0.34*0.36*0.82</f>
        <v>0.100368</v>
      </c>
      <c r="N149" s="73">
        <v>1147.0409999999999</v>
      </c>
      <c r="O149" s="73">
        <v>1375.521</v>
      </c>
      <c r="P149" s="223"/>
      <c r="Q149" s="223"/>
      <c r="R149" s="64"/>
      <c r="S149" s="64"/>
    </row>
    <row r="150" spans="3:19" ht="15.75" thickBot="1">
      <c r="C150" s="2"/>
      <c r="D150" s="72" t="s">
        <v>338</v>
      </c>
      <c r="E150" s="14">
        <v>2.2000000000000002</v>
      </c>
      <c r="F150" s="15">
        <v>3</v>
      </c>
      <c r="G150" s="14">
        <v>32</v>
      </c>
      <c r="H150" s="15">
        <v>13</v>
      </c>
      <c r="I150" s="27" t="s">
        <v>337</v>
      </c>
      <c r="J150" s="28">
        <v>2900</v>
      </c>
      <c r="K150" s="38" t="s">
        <v>137</v>
      </c>
      <c r="L150" s="39">
        <v>75</v>
      </c>
      <c r="M150" s="42">
        <f>0.34*0.36*0.82</f>
        <v>0.100368</v>
      </c>
      <c r="N150" s="73">
        <v>1174.1729999999998</v>
      </c>
      <c r="O150" s="73">
        <v>1406.223</v>
      </c>
      <c r="P150" s="223"/>
      <c r="Q150" s="223"/>
      <c r="R150" s="64"/>
      <c r="S150" s="64"/>
    </row>
    <row r="151" spans="3:19" ht="15.75" thickBot="1">
      <c r="C151" s="2"/>
      <c r="D151" s="72" t="s">
        <v>339</v>
      </c>
      <c r="E151" s="14">
        <v>3</v>
      </c>
      <c r="F151" s="15">
        <v>4</v>
      </c>
      <c r="G151" s="14">
        <v>32</v>
      </c>
      <c r="H151" s="15">
        <v>20</v>
      </c>
      <c r="I151" s="27" t="s">
        <v>337</v>
      </c>
      <c r="J151" s="28">
        <v>2900</v>
      </c>
      <c r="K151" s="38" t="s">
        <v>24</v>
      </c>
      <c r="L151" s="39">
        <v>85</v>
      </c>
      <c r="M151" s="42">
        <f>0.35*0.36*0.94</f>
        <v>0.11843999999999999</v>
      </c>
      <c r="N151" s="73">
        <v>1509.396</v>
      </c>
      <c r="O151" s="73">
        <v>1774.6470000000002</v>
      </c>
      <c r="P151" s="223"/>
      <c r="Q151" s="223"/>
      <c r="R151" s="64"/>
      <c r="S151" s="64"/>
    </row>
    <row r="152" spans="3:19" ht="15.75" thickBot="1">
      <c r="C152" s="2"/>
      <c r="D152" s="72" t="s">
        <v>340</v>
      </c>
      <c r="E152" s="14">
        <v>4</v>
      </c>
      <c r="F152" s="15">
        <v>5.5</v>
      </c>
      <c r="G152" s="14">
        <v>32</v>
      </c>
      <c r="H152" s="15">
        <v>27</v>
      </c>
      <c r="I152" s="27" t="s">
        <v>337</v>
      </c>
      <c r="J152" s="28">
        <v>2900</v>
      </c>
      <c r="K152" s="38" t="s">
        <v>24</v>
      </c>
      <c r="L152" s="39">
        <v>94</v>
      </c>
      <c r="M152" s="42">
        <f>0.37*0.36*0.95</f>
        <v>0.12653999999999999</v>
      </c>
      <c r="N152" s="73">
        <v>1560.09</v>
      </c>
      <c r="O152" s="73">
        <v>1826.769</v>
      </c>
      <c r="P152" s="223"/>
      <c r="Q152" s="223"/>
      <c r="R152" s="64"/>
      <c r="S152" s="64"/>
    </row>
    <row r="153" spans="3:19" ht="15.75" thickBot="1">
      <c r="C153" s="2"/>
      <c r="D153" s="72" t="s">
        <v>341</v>
      </c>
      <c r="E153" s="14">
        <v>5.5</v>
      </c>
      <c r="F153" s="15">
        <v>7.5</v>
      </c>
      <c r="G153" s="14">
        <v>32</v>
      </c>
      <c r="H153" s="15">
        <v>33</v>
      </c>
      <c r="I153" s="27" t="s">
        <v>337</v>
      </c>
      <c r="J153" s="28">
        <v>2900</v>
      </c>
      <c r="K153" s="38" t="s">
        <v>26</v>
      </c>
      <c r="L153" s="39">
        <v>110</v>
      </c>
      <c r="M153" s="42">
        <f>0.39*0.36*1.06</f>
        <v>0.14882400000000001</v>
      </c>
      <c r="N153" s="73">
        <v>1873.5359999999998</v>
      </c>
      <c r="O153" s="73">
        <v>2143.4280000000003</v>
      </c>
      <c r="P153" s="223"/>
      <c r="Q153" s="223"/>
      <c r="R153" s="64"/>
      <c r="S153" s="64"/>
    </row>
    <row r="154" spans="3:19" ht="15.75" thickBot="1">
      <c r="C154" s="2"/>
      <c r="D154" s="72" t="s">
        <v>342</v>
      </c>
      <c r="E154" s="14">
        <v>5.5</v>
      </c>
      <c r="F154" s="15">
        <v>7.5</v>
      </c>
      <c r="G154" s="14">
        <v>32</v>
      </c>
      <c r="H154" s="15">
        <v>40</v>
      </c>
      <c r="I154" s="27" t="s">
        <v>337</v>
      </c>
      <c r="J154" s="28">
        <v>2900</v>
      </c>
      <c r="K154" s="38" t="s">
        <v>26</v>
      </c>
      <c r="L154" s="39">
        <v>110</v>
      </c>
      <c r="M154" s="42">
        <f>0.39*0.36*1.06</f>
        <v>0.14882400000000001</v>
      </c>
      <c r="N154" s="73">
        <v>1873.5359999999998</v>
      </c>
      <c r="O154" s="73">
        <v>2143.4280000000003</v>
      </c>
      <c r="P154" s="223"/>
      <c r="Q154" s="223"/>
      <c r="R154" s="64"/>
      <c r="S154" s="64"/>
    </row>
    <row r="155" spans="3:19" ht="15.75" thickBot="1">
      <c r="C155" s="2"/>
      <c r="D155" s="72" t="s">
        <v>343</v>
      </c>
      <c r="E155" s="14">
        <v>7.5</v>
      </c>
      <c r="F155" s="15">
        <v>10</v>
      </c>
      <c r="G155" s="14">
        <v>32</v>
      </c>
      <c r="H155" s="15">
        <v>46</v>
      </c>
      <c r="I155" s="27" t="s">
        <v>337</v>
      </c>
      <c r="J155" s="28">
        <v>2900</v>
      </c>
      <c r="K155" s="38" t="s">
        <v>28</v>
      </c>
      <c r="L155" s="39">
        <v>120</v>
      </c>
      <c r="M155" s="42">
        <f>0.39*0.36*1.13</f>
        <v>0.15865199999999999</v>
      </c>
      <c r="N155" s="73">
        <v>2028.4740000000004</v>
      </c>
      <c r="O155" s="73">
        <v>2296.5809999999997</v>
      </c>
      <c r="P155" s="223"/>
      <c r="Q155" s="223"/>
      <c r="R155" s="64"/>
      <c r="S155" s="64"/>
    </row>
    <row r="156" spans="3:19" ht="15.75" thickBot="1">
      <c r="C156" s="2"/>
      <c r="D156" s="72" t="s">
        <v>344</v>
      </c>
      <c r="E156" s="14">
        <v>7.5</v>
      </c>
      <c r="F156" s="15">
        <v>10</v>
      </c>
      <c r="G156" s="14">
        <v>32</v>
      </c>
      <c r="H156" s="15">
        <v>53</v>
      </c>
      <c r="I156" s="27" t="s">
        <v>337</v>
      </c>
      <c r="J156" s="28">
        <v>2900</v>
      </c>
      <c r="K156" s="38" t="s">
        <v>28</v>
      </c>
      <c r="L156" s="39">
        <v>120</v>
      </c>
      <c r="M156" s="42">
        <f>0.39*0.36*1.13</f>
        <v>0.15865199999999999</v>
      </c>
      <c r="N156" s="73">
        <v>2028.4740000000004</v>
      </c>
      <c r="O156" s="73">
        <v>2296.5809999999997</v>
      </c>
      <c r="P156" s="223"/>
      <c r="Q156" s="223"/>
      <c r="R156" s="64"/>
      <c r="S156" s="64"/>
    </row>
    <row r="157" spans="3:19" ht="15.75" thickBot="1">
      <c r="C157" s="2"/>
      <c r="D157" s="72" t="s">
        <v>345</v>
      </c>
      <c r="E157" s="14">
        <v>11</v>
      </c>
      <c r="F157" s="15">
        <v>15</v>
      </c>
      <c r="G157" s="14">
        <v>32</v>
      </c>
      <c r="H157" s="15">
        <v>60</v>
      </c>
      <c r="I157" s="27" t="s">
        <v>337</v>
      </c>
      <c r="J157" s="28">
        <v>2900</v>
      </c>
      <c r="K157" s="38" t="s">
        <v>30</v>
      </c>
      <c r="L157" s="39">
        <v>197</v>
      </c>
      <c r="M157" s="42">
        <f>0.44*0.36*1.41</f>
        <v>0.22334399999999996</v>
      </c>
      <c r="N157" s="73">
        <v>2903.1240000000003</v>
      </c>
      <c r="O157" s="73">
        <v>3144.8130000000001</v>
      </c>
      <c r="P157" s="223"/>
      <c r="Q157" s="223"/>
      <c r="R157" s="64"/>
      <c r="S157" s="64"/>
    </row>
    <row r="158" spans="3:19" ht="15.75" thickBot="1">
      <c r="C158" s="2"/>
      <c r="D158" s="72" t="s">
        <v>346</v>
      </c>
      <c r="E158" s="14">
        <v>11</v>
      </c>
      <c r="F158" s="15">
        <v>15</v>
      </c>
      <c r="G158" s="14">
        <v>32</v>
      </c>
      <c r="H158" s="15">
        <v>67</v>
      </c>
      <c r="I158" s="27" t="s">
        <v>337</v>
      </c>
      <c r="J158" s="28">
        <v>2900</v>
      </c>
      <c r="K158" s="38" t="s">
        <v>30</v>
      </c>
      <c r="L158" s="39">
        <v>197</v>
      </c>
      <c r="M158" s="42">
        <f>0.44*0.36*1.41</f>
        <v>0.22334399999999996</v>
      </c>
      <c r="N158" s="73">
        <v>2903.1240000000003</v>
      </c>
      <c r="O158" s="73">
        <v>3144.8130000000001</v>
      </c>
      <c r="P158" s="223"/>
      <c r="Q158" s="223"/>
      <c r="R158" s="64"/>
      <c r="S158" s="64"/>
    </row>
    <row r="159" spans="3:19" ht="15.75" thickBot="1">
      <c r="C159" s="2"/>
      <c r="D159" s="72" t="s">
        <v>347</v>
      </c>
      <c r="E159" s="14">
        <v>11</v>
      </c>
      <c r="F159" s="15">
        <v>15</v>
      </c>
      <c r="G159" s="14">
        <v>32</v>
      </c>
      <c r="H159" s="15">
        <v>74</v>
      </c>
      <c r="I159" s="27" t="s">
        <v>337</v>
      </c>
      <c r="J159" s="28">
        <v>2900</v>
      </c>
      <c r="K159" s="38" t="s">
        <v>32</v>
      </c>
      <c r="L159" s="39">
        <v>201</v>
      </c>
      <c r="M159" s="42">
        <f>0.44*0.36*1.48</f>
        <v>0.23443199999999997</v>
      </c>
      <c r="N159" s="73">
        <v>3055.5630000000001</v>
      </c>
      <c r="O159" s="73">
        <v>3296.1809999999996</v>
      </c>
      <c r="P159" s="223"/>
      <c r="Q159" s="223"/>
      <c r="R159" s="64"/>
      <c r="S159" s="64"/>
    </row>
    <row r="160" spans="3:19" ht="15.75" thickBot="1">
      <c r="C160" s="2"/>
      <c r="D160" s="72" t="s">
        <v>348</v>
      </c>
      <c r="E160" s="14">
        <v>11</v>
      </c>
      <c r="F160" s="15">
        <v>15</v>
      </c>
      <c r="G160" s="14">
        <v>32</v>
      </c>
      <c r="H160" s="15">
        <v>81</v>
      </c>
      <c r="I160" s="27" t="s">
        <v>337</v>
      </c>
      <c r="J160" s="28">
        <v>2900</v>
      </c>
      <c r="K160" s="38" t="s">
        <v>32</v>
      </c>
      <c r="L160" s="39">
        <v>201</v>
      </c>
      <c r="M160" s="42">
        <f>0.44*0.36*1.48</f>
        <v>0.23443199999999997</v>
      </c>
      <c r="N160" s="73">
        <v>3055.5630000000001</v>
      </c>
      <c r="O160" s="73">
        <v>3296.1809999999996</v>
      </c>
      <c r="P160" s="223"/>
      <c r="Q160" s="223"/>
      <c r="R160" s="64"/>
      <c r="S160" s="64"/>
    </row>
    <row r="161" spans="3:19" ht="15.75" thickBot="1">
      <c r="C161" s="2"/>
      <c r="D161" s="72" t="s">
        <v>349</v>
      </c>
      <c r="E161" s="14">
        <v>15</v>
      </c>
      <c r="F161" s="15">
        <v>20</v>
      </c>
      <c r="G161" s="14">
        <v>32</v>
      </c>
      <c r="H161" s="15">
        <v>88</v>
      </c>
      <c r="I161" s="27" t="s">
        <v>337</v>
      </c>
      <c r="J161" s="28">
        <v>2900</v>
      </c>
      <c r="K161" s="38" t="s">
        <v>34</v>
      </c>
      <c r="L161" s="39">
        <v>216</v>
      </c>
      <c r="M161" s="42">
        <f>0.44*0.36*1.55</f>
        <v>0.24551999999999999</v>
      </c>
      <c r="N161" s="73">
        <v>3409.35</v>
      </c>
      <c r="O161" s="73">
        <v>3693.165</v>
      </c>
      <c r="P161" s="223"/>
      <c r="Q161" s="223"/>
      <c r="R161" s="64"/>
      <c r="S161" s="64"/>
    </row>
    <row r="162" spans="3:19" ht="15.75" thickBot="1">
      <c r="C162" s="2"/>
      <c r="D162" s="72" t="s">
        <v>350</v>
      </c>
      <c r="E162" s="14">
        <v>15</v>
      </c>
      <c r="F162" s="15">
        <v>20</v>
      </c>
      <c r="G162" s="14">
        <v>32</v>
      </c>
      <c r="H162" s="15">
        <v>95</v>
      </c>
      <c r="I162" s="27" t="s">
        <v>337</v>
      </c>
      <c r="J162" s="28">
        <v>2900</v>
      </c>
      <c r="K162" s="38" t="s">
        <v>34</v>
      </c>
      <c r="L162" s="39">
        <v>216</v>
      </c>
      <c r="M162" s="42">
        <f>0.44*0.36*1.55</f>
        <v>0.24551999999999999</v>
      </c>
      <c r="N162" s="73">
        <v>3409.35</v>
      </c>
      <c r="O162" s="73">
        <v>3693.165</v>
      </c>
      <c r="P162" s="223"/>
      <c r="Q162" s="223"/>
      <c r="R162" s="64"/>
      <c r="S162" s="64"/>
    </row>
    <row r="163" spans="3:19" ht="15.75" thickBot="1">
      <c r="C163" s="2"/>
      <c r="D163" s="72" t="s">
        <v>351</v>
      </c>
      <c r="E163" s="14">
        <v>15</v>
      </c>
      <c r="F163" s="15">
        <v>20</v>
      </c>
      <c r="G163" s="14">
        <v>32</v>
      </c>
      <c r="H163" s="15">
        <v>102</v>
      </c>
      <c r="I163" s="27" t="s">
        <v>337</v>
      </c>
      <c r="J163" s="28">
        <v>2900</v>
      </c>
      <c r="K163" s="38" t="s">
        <v>36</v>
      </c>
      <c r="L163" s="39">
        <v>221</v>
      </c>
      <c r="M163" s="42">
        <f>0.44*0.36*1.62</f>
        <v>0.256608</v>
      </c>
      <c r="N163" s="73">
        <v>3510.3809999999999</v>
      </c>
      <c r="O163" s="73">
        <v>3793.8390000000004</v>
      </c>
      <c r="P163" s="223"/>
      <c r="Q163" s="223"/>
      <c r="R163" s="64"/>
      <c r="S163" s="64"/>
    </row>
    <row r="164" spans="3:19" ht="15.75" thickBot="1">
      <c r="C164" s="2"/>
      <c r="D164" s="72" t="s">
        <v>352</v>
      </c>
      <c r="E164" s="14">
        <v>15</v>
      </c>
      <c r="F164" s="15">
        <v>20</v>
      </c>
      <c r="G164" s="14">
        <v>32</v>
      </c>
      <c r="H164" s="15">
        <v>109</v>
      </c>
      <c r="I164" s="27" t="s">
        <v>337</v>
      </c>
      <c r="J164" s="28">
        <v>2900</v>
      </c>
      <c r="K164" s="38" t="s">
        <v>36</v>
      </c>
      <c r="L164" s="39">
        <v>221</v>
      </c>
      <c r="M164" s="42">
        <f>0.44*0.36*1.62</f>
        <v>0.256608</v>
      </c>
      <c r="N164" s="73">
        <v>3510.3809999999999</v>
      </c>
      <c r="O164" s="73">
        <v>3793.8390000000004</v>
      </c>
      <c r="P164" s="223"/>
      <c r="Q164" s="223"/>
      <c r="R164" s="64"/>
      <c r="S164" s="64"/>
    </row>
    <row r="165" spans="3:19" ht="15.75" thickBot="1">
      <c r="C165" s="2"/>
      <c r="D165" s="72" t="s">
        <v>353</v>
      </c>
      <c r="E165" s="14">
        <v>18.5</v>
      </c>
      <c r="F165" s="15">
        <v>25</v>
      </c>
      <c r="G165" s="14">
        <v>32</v>
      </c>
      <c r="H165" s="15">
        <v>117</v>
      </c>
      <c r="I165" s="27" t="s">
        <v>337</v>
      </c>
      <c r="J165" s="28">
        <v>2900</v>
      </c>
      <c r="K165" s="38" t="s">
        <v>38</v>
      </c>
      <c r="L165" s="39">
        <v>241</v>
      </c>
      <c r="M165" s="42">
        <f>0.44*0.36*1.74</f>
        <v>0.27561599999999997</v>
      </c>
      <c r="N165" s="73">
        <v>3765.2790000000005</v>
      </c>
      <c r="O165" s="73">
        <v>4048.7369999999996</v>
      </c>
      <c r="P165" s="223"/>
      <c r="Q165" s="223"/>
      <c r="R165" s="64"/>
      <c r="S165" s="64"/>
    </row>
    <row r="166" spans="3:19" ht="15.75" thickBot="1">
      <c r="C166" s="2"/>
      <c r="D166" s="72" t="s">
        <v>354</v>
      </c>
      <c r="E166" s="14">
        <v>18.5</v>
      </c>
      <c r="F166" s="15">
        <v>25</v>
      </c>
      <c r="G166" s="14">
        <v>32</v>
      </c>
      <c r="H166" s="15">
        <v>124</v>
      </c>
      <c r="I166" s="27" t="s">
        <v>337</v>
      </c>
      <c r="J166" s="28">
        <v>2900</v>
      </c>
      <c r="K166" s="38" t="s">
        <v>38</v>
      </c>
      <c r="L166" s="39">
        <v>241</v>
      </c>
      <c r="M166" s="42">
        <f>0.44*0.36*1.74</f>
        <v>0.27561599999999997</v>
      </c>
      <c r="N166" s="73">
        <v>3765.2790000000005</v>
      </c>
      <c r="O166" s="73">
        <v>4048.7369999999996</v>
      </c>
      <c r="P166" s="223"/>
      <c r="Q166" s="223"/>
      <c r="R166" s="64"/>
      <c r="S166" s="64"/>
    </row>
    <row r="167" spans="3:19" ht="15.75" thickBot="1">
      <c r="C167" s="2"/>
      <c r="D167" s="72" t="s">
        <v>355</v>
      </c>
      <c r="E167" s="14">
        <v>18.5</v>
      </c>
      <c r="F167" s="15">
        <v>25</v>
      </c>
      <c r="G167" s="14">
        <v>32</v>
      </c>
      <c r="H167" s="15">
        <v>131</v>
      </c>
      <c r="I167" s="27" t="s">
        <v>337</v>
      </c>
      <c r="J167" s="28">
        <v>2900</v>
      </c>
      <c r="K167" s="38" t="s">
        <v>40</v>
      </c>
      <c r="L167" s="39">
        <v>247</v>
      </c>
      <c r="M167" s="42">
        <f>0.44*0.36*1.81</f>
        <v>0.28670399999999996</v>
      </c>
      <c r="N167" s="73">
        <v>3879.8759999999997</v>
      </c>
      <c r="O167" s="73">
        <v>4164.0480000000007</v>
      </c>
      <c r="P167" s="223"/>
      <c r="Q167" s="223"/>
      <c r="R167" s="64"/>
      <c r="S167" s="64"/>
    </row>
    <row r="168" spans="3:19" ht="15.75" thickBot="1">
      <c r="C168" s="2"/>
      <c r="D168" s="72" t="s">
        <v>356</v>
      </c>
      <c r="E168" s="14">
        <v>18.5</v>
      </c>
      <c r="F168" s="15">
        <v>25</v>
      </c>
      <c r="G168" s="14">
        <v>32</v>
      </c>
      <c r="H168" s="15">
        <v>138</v>
      </c>
      <c r="I168" s="27" t="s">
        <v>337</v>
      </c>
      <c r="J168" s="28">
        <v>2900</v>
      </c>
      <c r="K168" s="38" t="s">
        <v>40</v>
      </c>
      <c r="L168" s="39">
        <v>247</v>
      </c>
      <c r="M168" s="42">
        <f>0.44*0.36*1.81</f>
        <v>0.28670399999999996</v>
      </c>
      <c r="N168" s="73">
        <v>3879.8759999999997</v>
      </c>
      <c r="O168" s="73">
        <v>4164.0480000000007</v>
      </c>
      <c r="P168" s="223"/>
      <c r="Q168" s="223"/>
      <c r="R168" s="64"/>
      <c r="S168" s="64"/>
    </row>
    <row r="169" spans="3:19" ht="15.75" thickBot="1">
      <c r="C169" s="2"/>
      <c r="D169" s="72" t="s">
        <v>357</v>
      </c>
      <c r="E169" s="14">
        <v>22</v>
      </c>
      <c r="F169" s="15">
        <v>30</v>
      </c>
      <c r="G169" s="14">
        <v>32</v>
      </c>
      <c r="H169" s="15">
        <v>146</v>
      </c>
      <c r="I169" s="27" t="s">
        <v>337</v>
      </c>
      <c r="J169" s="28">
        <v>2900</v>
      </c>
      <c r="K169" s="38" t="s">
        <v>42</v>
      </c>
      <c r="L169" s="39">
        <v>295</v>
      </c>
      <c r="M169" s="42">
        <f>0.47*0.36*1.91</f>
        <v>0.32317199999999996</v>
      </c>
      <c r="N169" s="73">
        <v>4570.3140000000003</v>
      </c>
      <c r="O169" s="73">
        <v>4853.7719999999999</v>
      </c>
      <c r="P169" s="223"/>
      <c r="Q169" s="223"/>
      <c r="R169" s="64"/>
      <c r="S169" s="64"/>
    </row>
    <row r="170" spans="3:19" ht="15.75" thickBot="1">
      <c r="C170" s="2"/>
      <c r="D170" s="72" t="s">
        <v>358</v>
      </c>
      <c r="E170" s="14">
        <v>22</v>
      </c>
      <c r="F170" s="15">
        <v>30</v>
      </c>
      <c r="G170" s="14">
        <v>32</v>
      </c>
      <c r="H170" s="15">
        <v>153</v>
      </c>
      <c r="I170" s="27" t="s">
        <v>337</v>
      </c>
      <c r="J170" s="28">
        <v>2900</v>
      </c>
      <c r="K170" s="38" t="s">
        <v>42</v>
      </c>
      <c r="L170" s="39">
        <v>295</v>
      </c>
      <c r="M170" s="42">
        <f>0.47*0.36*1.91</f>
        <v>0.32317199999999996</v>
      </c>
      <c r="N170" s="73">
        <v>4570.3140000000003</v>
      </c>
      <c r="O170" s="73">
        <v>4853.7719999999999</v>
      </c>
      <c r="P170" s="223"/>
      <c r="Q170" s="223"/>
      <c r="R170" s="64"/>
      <c r="S170" s="64"/>
    </row>
    <row r="171" spans="3:19" ht="15.75" thickBot="1">
      <c r="C171" s="2"/>
      <c r="D171" s="72" t="s">
        <v>359</v>
      </c>
      <c r="E171" s="14">
        <v>22</v>
      </c>
      <c r="F171" s="15">
        <v>30</v>
      </c>
      <c r="G171" s="14">
        <v>32</v>
      </c>
      <c r="H171" s="15">
        <v>160</v>
      </c>
      <c r="I171" s="27" t="s">
        <v>337</v>
      </c>
      <c r="J171" s="28">
        <v>2900</v>
      </c>
      <c r="K171" s="38" t="s">
        <v>44</v>
      </c>
      <c r="L171" s="39">
        <v>299</v>
      </c>
      <c r="M171" s="42">
        <f>0.47*0.36*1.98</f>
        <v>0.33501599999999998</v>
      </c>
      <c r="N171" s="73">
        <v>4673.8440000000001</v>
      </c>
      <c r="O171" s="73">
        <v>4958.0160000000005</v>
      </c>
      <c r="P171" s="223"/>
      <c r="Q171" s="223"/>
      <c r="R171" s="64"/>
      <c r="S171" s="64"/>
    </row>
    <row r="172" spans="3:19" ht="15.75" thickBot="1">
      <c r="C172" s="2"/>
      <c r="D172" s="72" t="s">
        <v>360</v>
      </c>
      <c r="E172" s="14">
        <v>22</v>
      </c>
      <c r="F172" s="15">
        <v>30</v>
      </c>
      <c r="G172" s="14">
        <v>32</v>
      </c>
      <c r="H172" s="15">
        <v>167</v>
      </c>
      <c r="I172" s="27" t="s">
        <v>337</v>
      </c>
      <c r="J172" s="28">
        <v>2900</v>
      </c>
      <c r="K172" s="38" t="s">
        <v>44</v>
      </c>
      <c r="L172" s="39">
        <v>299</v>
      </c>
      <c r="M172" s="42">
        <f>0.47*0.36*1.98</f>
        <v>0.33501599999999998</v>
      </c>
      <c r="N172" s="73">
        <v>4673.8440000000001</v>
      </c>
      <c r="O172" s="73">
        <v>4958.0160000000005</v>
      </c>
      <c r="P172" s="223"/>
      <c r="Q172" s="223"/>
      <c r="R172" s="64"/>
      <c r="S172" s="64"/>
    </row>
    <row r="173" spans="3:19" ht="15.75" thickBot="1">
      <c r="C173" s="2"/>
      <c r="D173" s="72" t="s">
        <v>361</v>
      </c>
      <c r="E173" s="14">
        <v>30</v>
      </c>
      <c r="F173" s="15">
        <v>40</v>
      </c>
      <c r="G173" s="14">
        <v>32</v>
      </c>
      <c r="H173" s="15">
        <v>174</v>
      </c>
      <c r="I173" s="27" t="s">
        <v>337</v>
      </c>
      <c r="J173" s="28">
        <v>2900</v>
      </c>
      <c r="K173" s="38" t="s">
        <v>46</v>
      </c>
      <c r="L173" s="39">
        <v>363</v>
      </c>
      <c r="M173" s="42">
        <f>0.49*0.36*2.12</f>
        <v>0.37396800000000002</v>
      </c>
      <c r="N173" s="73">
        <v>5450.6760000000004</v>
      </c>
      <c r="O173" s="73">
        <v>5745.915</v>
      </c>
      <c r="P173" s="223"/>
      <c r="Q173" s="223"/>
      <c r="R173" s="64"/>
      <c r="S173" s="64"/>
    </row>
    <row r="174" spans="3:19" ht="15.75" thickBot="1">
      <c r="C174" s="2"/>
      <c r="D174" s="72" t="s">
        <v>362</v>
      </c>
      <c r="E174" s="14">
        <v>30</v>
      </c>
      <c r="F174" s="15">
        <v>40</v>
      </c>
      <c r="G174" s="14">
        <v>32</v>
      </c>
      <c r="H174" s="15">
        <v>181</v>
      </c>
      <c r="I174" s="27" t="s">
        <v>337</v>
      </c>
      <c r="J174" s="28">
        <v>2900</v>
      </c>
      <c r="K174" s="38" t="s">
        <v>46</v>
      </c>
      <c r="L174" s="39">
        <v>363</v>
      </c>
      <c r="M174" s="42">
        <f>0.49*0.36*2.12</f>
        <v>0.37396800000000002</v>
      </c>
      <c r="N174" s="73">
        <v>5450.6760000000004</v>
      </c>
      <c r="O174" s="73">
        <v>5745.915</v>
      </c>
      <c r="P174" s="223"/>
      <c r="Q174" s="223"/>
      <c r="R174" s="64"/>
      <c r="S174" s="64"/>
    </row>
    <row r="175" spans="3:19" ht="15.75" thickBot="1">
      <c r="C175" s="2"/>
      <c r="D175" s="72" t="s">
        <v>363</v>
      </c>
      <c r="E175" s="14">
        <v>30</v>
      </c>
      <c r="F175" s="15">
        <v>40</v>
      </c>
      <c r="G175" s="14">
        <v>32</v>
      </c>
      <c r="H175" s="15">
        <v>189</v>
      </c>
      <c r="I175" s="27" t="s">
        <v>337</v>
      </c>
      <c r="J175" s="28">
        <v>2900</v>
      </c>
      <c r="K175" s="38" t="s">
        <v>86</v>
      </c>
      <c r="L175" s="39">
        <v>368</v>
      </c>
      <c r="M175" s="42">
        <f>0.49*0.36*2.19</f>
        <v>0.38631599999999999</v>
      </c>
      <c r="N175" s="73">
        <v>5546.3519999999999</v>
      </c>
      <c r="O175" s="73">
        <v>5831.2380000000003</v>
      </c>
      <c r="P175" s="223"/>
      <c r="Q175" s="223"/>
      <c r="R175" s="64"/>
      <c r="S175" s="64"/>
    </row>
    <row r="176" spans="3:19" ht="15.75" thickBot="1">
      <c r="C176" s="2"/>
      <c r="D176" s="72" t="s">
        <v>364</v>
      </c>
      <c r="E176" s="14">
        <v>30</v>
      </c>
      <c r="F176" s="15">
        <v>40</v>
      </c>
      <c r="G176" s="14">
        <v>32</v>
      </c>
      <c r="H176" s="15">
        <v>196</v>
      </c>
      <c r="I176" s="27" t="s">
        <v>337</v>
      </c>
      <c r="J176" s="28">
        <v>2900</v>
      </c>
      <c r="K176" s="38" t="s">
        <v>86</v>
      </c>
      <c r="L176" s="39">
        <v>368</v>
      </c>
      <c r="M176" s="42">
        <f>0.49*0.36*2.19</f>
        <v>0.38631599999999999</v>
      </c>
      <c r="N176" s="73">
        <v>5546.3519999999999</v>
      </c>
      <c r="O176" s="73">
        <v>5831.2380000000003</v>
      </c>
      <c r="P176" s="223"/>
      <c r="Q176" s="223"/>
      <c r="R176" s="64"/>
      <c r="S176" s="64"/>
    </row>
    <row r="177" spans="3:19" ht="15.75" thickBot="1">
      <c r="C177" s="2"/>
      <c r="D177" s="72" t="s">
        <v>365</v>
      </c>
      <c r="E177" s="14">
        <v>30</v>
      </c>
      <c r="F177" s="15">
        <v>40</v>
      </c>
      <c r="G177" s="14">
        <v>32</v>
      </c>
      <c r="H177" s="15">
        <v>203</v>
      </c>
      <c r="I177" s="27" t="s">
        <v>337</v>
      </c>
      <c r="J177" s="28">
        <v>2900</v>
      </c>
      <c r="K177" s="38" t="s">
        <v>48</v>
      </c>
      <c r="L177" s="39">
        <v>373</v>
      </c>
      <c r="M177" s="42">
        <f>0.49*0.36*2.26</f>
        <v>0.39866399999999996</v>
      </c>
      <c r="N177" s="73">
        <v>5727.3510000000006</v>
      </c>
      <c r="O177" s="73">
        <v>6009.7380000000003</v>
      </c>
      <c r="P177" s="223"/>
      <c r="Q177" s="223"/>
      <c r="R177" s="64"/>
      <c r="S177" s="64"/>
    </row>
    <row r="178" spans="3:19" ht="15.75" thickBot="1">
      <c r="C178" s="2"/>
      <c r="D178" s="72" t="s">
        <v>366</v>
      </c>
      <c r="E178" s="14">
        <v>30</v>
      </c>
      <c r="F178" s="15">
        <v>40</v>
      </c>
      <c r="G178" s="14">
        <v>32</v>
      </c>
      <c r="H178" s="15">
        <v>210</v>
      </c>
      <c r="I178" s="27" t="s">
        <v>337</v>
      </c>
      <c r="J178" s="28">
        <v>2900</v>
      </c>
      <c r="K178" s="38" t="s">
        <v>48</v>
      </c>
      <c r="L178" s="39">
        <v>373</v>
      </c>
      <c r="M178" s="42">
        <f>0.49*0.36*2.26</f>
        <v>0.39866399999999996</v>
      </c>
      <c r="N178" s="73">
        <v>5727.3510000000006</v>
      </c>
      <c r="O178" s="73">
        <v>6009.7380000000003</v>
      </c>
      <c r="P178" s="223"/>
      <c r="Q178" s="223"/>
      <c r="R178" s="64"/>
      <c r="S178" s="64"/>
    </row>
    <row r="179" spans="3:19" ht="15.75" thickBot="1">
      <c r="C179" s="2"/>
      <c r="D179" s="72" t="s">
        <v>367</v>
      </c>
      <c r="E179" s="14">
        <v>30</v>
      </c>
      <c r="F179" s="15">
        <v>40</v>
      </c>
      <c r="G179" s="14">
        <v>32</v>
      </c>
      <c r="H179" s="15">
        <v>218</v>
      </c>
      <c r="I179" s="27" t="s">
        <v>337</v>
      </c>
      <c r="J179" s="28">
        <v>2900</v>
      </c>
      <c r="K179" s="38" t="s">
        <v>89</v>
      </c>
      <c r="L179" s="39">
        <v>379</v>
      </c>
      <c r="M179" s="42">
        <f>0.49*0.36*2.33</f>
        <v>0.41101199999999999</v>
      </c>
      <c r="N179" s="73">
        <v>5821.2419999999993</v>
      </c>
      <c r="O179" s="73">
        <v>6107.5560000000005</v>
      </c>
      <c r="P179" s="223"/>
      <c r="Q179" s="223"/>
      <c r="R179" s="64"/>
      <c r="S179" s="64"/>
    </row>
    <row r="180" spans="3:19" ht="15.75" thickBot="1">
      <c r="C180" s="2"/>
      <c r="D180" s="72" t="s">
        <v>368</v>
      </c>
      <c r="E180" s="14">
        <v>30</v>
      </c>
      <c r="F180" s="15">
        <v>40</v>
      </c>
      <c r="G180" s="14">
        <v>32</v>
      </c>
      <c r="H180" s="15">
        <v>225</v>
      </c>
      <c r="I180" s="27" t="s">
        <v>337</v>
      </c>
      <c r="J180" s="28">
        <v>2900</v>
      </c>
      <c r="K180" s="38" t="s">
        <v>89</v>
      </c>
      <c r="L180" s="39">
        <v>379</v>
      </c>
      <c r="M180" s="42">
        <f>0.49*0.36*2.33</f>
        <v>0.41101199999999999</v>
      </c>
      <c r="N180" s="73">
        <v>5821.2419999999993</v>
      </c>
      <c r="O180" s="73">
        <v>6107.5560000000005</v>
      </c>
      <c r="P180" s="223"/>
      <c r="Q180" s="223"/>
      <c r="R180" s="64"/>
      <c r="S180" s="64"/>
    </row>
    <row r="181" spans="3:19" ht="15.75" thickBot="1">
      <c r="C181" s="2"/>
      <c r="D181" s="72" t="s">
        <v>369</v>
      </c>
      <c r="E181" s="14">
        <v>3</v>
      </c>
      <c r="F181" s="15">
        <v>4</v>
      </c>
      <c r="G181" s="14">
        <v>45</v>
      </c>
      <c r="H181" s="15">
        <v>15</v>
      </c>
      <c r="I181" s="27" t="s">
        <v>370</v>
      </c>
      <c r="J181" s="28">
        <v>2900</v>
      </c>
      <c r="K181" s="38" t="s">
        <v>137</v>
      </c>
      <c r="L181" s="39">
        <v>93</v>
      </c>
      <c r="M181" s="42">
        <f>0.39*0.39*0.93</f>
        <v>0.14145300000000002</v>
      </c>
      <c r="N181" s="73">
        <v>1389.444</v>
      </c>
      <c r="O181" s="73">
        <v>1860.6840000000004</v>
      </c>
      <c r="P181" s="223"/>
      <c r="Q181" s="223"/>
      <c r="R181" s="64"/>
      <c r="S181" s="64"/>
    </row>
    <row r="182" spans="3:19" ht="15.75" thickBot="1">
      <c r="C182" s="2"/>
      <c r="D182" s="72" t="s">
        <v>371</v>
      </c>
      <c r="E182" s="14">
        <v>4</v>
      </c>
      <c r="F182" s="15">
        <v>5.5</v>
      </c>
      <c r="G182" s="14">
        <v>45</v>
      </c>
      <c r="H182" s="15">
        <v>19</v>
      </c>
      <c r="I182" s="27" t="s">
        <v>370</v>
      </c>
      <c r="J182" s="28">
        <v>2900</v>
      </c>
      <c r="K182" s="38" t="s">
        <v>137</v>
      </c>
      <c r="L182" s="39">
        <v>100</v>
      </c>
      <c r="M182" s="42">
        <f>0.39*0.39*0.94</f>
        <v>0.14297400000000002</v>
      </c>
      <c r="N182" s="73">
        <v>1440.1379999999999</v>
      </c>
      <c r="O182" s="73">
        <v>1911.3779999999999</v>
      </c>
      <c r="P182" s="223"/>
      <c r="Q182" s="223"/>
      <c r="R182" s="64"/>
      <c r="S182" s="64"/>
    </row>
    <row r="183" spans="3:19" ht="15.75" thickBot="1">
      <c r="C183" s="2"/>
      <c r="D183" s="72" t="s">
        <v>372</v>
      </c>
      <c r="E183" s="14">
        <v>5.5</v>
      </c>
      <c r="F183" s="15">
        <v>7.5</v>
      </c>
      <c r="G183" s="14">
        <v>45</v>
      </c>
      <c r="H183" s="15">
        <v>30</v>
      </c>
      <c r="I183" s="27" t="s">
        <v>370</v>
      </c>
      <c r="J183" s="28">
        <v>2900</v>
      </c>
      <c r="K183" s="38" t="s">
        <v>24</v>
      </c>
      <c r="L183" s="39">
        <v>117</v>
      </c>
      <c r="M183" s="42">
        <f>0.41*0.39*1.05</f>
        <v>0.16789499999999999</v>
      </c>
      <c r="N183" s="73">
        <v>1755.0120000000002</v>
      </c>
      <c r="O183" s="73">
        <v>2228.7509999999997</v>
      </c>
      <c r="P183" s="223"/>
      <c r="Q183" s="223"/>
      <c r="R183" s="64"/>
      <c r="S183" s="64"/>
    </row>
    <row r="184" spans="3:19" ht="15.75" thickBot="1">
      <c r="C184" s="2"/>
      <c r="D184" s="72" t="s">
        <v>373</v>
      </c>
      <c r="E184" s="14">
        <v>7.5</v>
      </c>
      <c r="F184" s="15">
        <v>10</v>
      </c>
      <c r="G184" s="14">
        <v>45</v>
      </c>
      <c r="H184" s="15">
        <v>39</v>
      </c>
      <c r="I184" s="27" t="s">
        <v>370</v>
      </c>
      <c r="J184" s="28">
        <v>2900</v>
      </c>
      <c r="K184" s="38" t="s">
        <v>24</v>
      </c>
      <c r="L184" s="39">
        <v>122</v>
      </c>
      <c r="M184" s="42">
        <f>0.41*0.39*1.05</f>
        <v>0.16789499999999999</v>
      </c>
      <c r="N184" s="73">
        <v>1815.7020000000002</v>
      </c>
      <c r="O184" s="73">
        <v>2287.2990000000004</v>
      </c>
      <c r="P184" s="223"/>
      <c r="Q184" s="223"/>
      <c r="R184" s="64"/>
      <c r="S184" s="64"/>
    </row>
    <row r="185" spans="3:19" ht="15.75" thickBot="1">
      <c r="C185" s="2"/>
      <c r="D185" s="72" t="s">
        <v>374</v>
      </c>
      <c r="E185" s="14">
        <v>11</v>
      </c>
      <c r="F185" s="15">
        <v>15</v>
      </c>
      <c r="G185" s="14">
        <v>45</v>
      </c>
      <c r="H185" s="15">
        <v>50</v>
      </c>
      <c r="I185" s="27" t="s">
        <v>370</v>
      </c>
      <c r="J185" s="28">
        <v>2900</v>
      </c>
      <c r="K185" s="38" t="s">
        <v>26</v>
      </c>
      <c r="L185" s="39">
        <v>200</v>
      </c>
      <c r="M185" s="42">
        <f>0.46*0.39*1.35</f>
        <v>0.24219000000000002</v>
      </c>
      <c r="N185" s="73">
        <v>2798.88</v>
      </c>
      <c r="O185" s="73">
        <v>3297.9659999999999</v>
      </c>
      <c r="P185" s="223"/>
      <c r="Q185" s="223"/>
      <c r="R185" s="64"/>
      <c r="S185" s="64"/>
    </row>
    <row r="186" spans="3:19" ht="15.75" thickBot="1">
      <c r="C186" s="2"/>
      <c r="D186" s="72" t="s">
        <v>375</v>
      </c>
      <c r="E186" s="14">
        <v>11</v>
      </c>
      <c r="F186" s="15">
        <v>15</v>
      </c>
      <c r="G186" s="14">
        <v>45</v>
      </c>
      <c r="H186" s="15">
        <v>58</v>
      </c>
      <c r="I186" s="27" t="s">
        <v>370</v>
      </c>
      <c r="J186" s="28">
        <v>2900</v>
      </c>
      <c r="K186" s="38" t="s">
        <v>26</v>
      </c>
      <c r="L186" s="39">
        <v>200</v>
      </c>
      <c r="M186" s="42">
        <f>0.46*0.39*1.35</f>
        <v>0.24219000000000002</v>
      </c>
      <c r="N186" s="73">
        <v>2798.88</v>
      </c>
      <c r="O186" s="73">
        <v>3297.9659999999999</v>
      </c>
      <c r="P186" s="223"/>
      <c r="Q186" s="223"/>
      <c r="R186" s="64"/>
      <c r="S186" s="64"/>
    </row>
    <row r="187" spans="3:19" ht="15.75" thickBot="1">
      <c r="C187" s="2"/>
      <c r="D187" s="72" t="s">
        <v>376</v>
      </c>
      <c r="E187" s="14">
        <v>15</v>
      </c>
      <c r="F187" s="15">
        <v>20</v>
      </c>
      <c r="G187" s="14">
        <v>45</v>
      </c>
      <c r="H187" s="15">
        <v>69</v>
      </c>
      <c r="I187" s="27" t="s">
        <v>370</v>
      </c>
      <c r="J187" s="28">
        <v>2900</v>
      </c>
      <c r="K187" s="38" t="s">
        <v>28</v>
      </c>
      <c r="L187" s="39">
        <v>215</v>
      </c>
      <c r="M187" s="42">
        <f>0.46*0.39*1.43</f>
        <v>0.25654199999999999</v>
      </c>
      <c r="N187" s="73">
        <v>3319.7429999999999</v>
      </c>
      <c r="O187" s="73">
        <v>3902.01</v>
      </c>
      <c r="P187" s="223"/>
      <c r="Q187" s="223"/>
      <c r="R187" s="64"/>
      <c r="S187" s="64"/>
    </row>
    <row r="188" spans="3:19" ht="15.75" thickBot="1">
      <c r="C188" s="2"/>
      <c r="D188" s="72" t="s">
        <v>377</v>
      </c>
      <c r="E188" s="14">
        <v>15</v>
      </c>
      <c r="F188" s="15">
        <v>20</v>
      </c>
      <c r="G188" s="14">
        <v>45</v>
      </c>
      <c r="H188" s="15">
        <v>78</v>
      </c>
      <c r="I188" s="27" t="s">
        <v>370</v>
      </c>
      <c r="J188" s="28">
        <v>2900</v>
      </c>
      <c r="K188" s="38" t="s">
        <v>28</v>
      </c>
      <c r="L188" s="39">
        <v>215</v>
      </c>
      <c r="M188" s="42">
        <f>0.46*0.39*1.43</f>
        <v>0.25654199999999999</v>
      </c>
      <c r="N188" s="73">
        <v>3319.7429999999999</v>
      </c>
      <c r="O188" s="73">
        <v>3902.01</v>
      </c>
      <c r="P188" s="223"/>
      <c r="Q188" s="223"/>
      <c r="R188" s="64"/>
      <c r="S188" s="64"/>
    </row>
    <row r="189" spans="3:19" ht="15.75" thickBot="1">
      <c r="C189" s="2"/>
      <c r="D189" s="72" t="s">
        <v>378</v>
      </c>
      <c r="E189" s="14">
        <v>18.5</v>
      </c>
      <c r="F189" s="15">
        <v>25</v>
      </c>
      <c r="G189" s="14">
        <v>45</v>
      </c>
      <c r="H189" s="15">
        <v>88</v>
      </c>
      <c r="I189" s="27" t="s">
        <v>370</v>
      </c>
      <c r="J189" s="28">
        <v>2900</v>
      </c>
      <c r="K189" s="38" t="s">
        <v>30</v>
      </c>
      <c r="L189" s="39">
        <v>241</v>
      </c>
      <c r="M189" s="42">
        <f>0.46*0.39*1.56</f>
        <v>0.279864</v>
      </c>
      <c r="N189" s="73">
        <v>3592.491</v>
      </c>
      <c r="O189" s="73">
        <v>4175.1149999999998</v>
      </c>
      <c r="P189" s="223"/>
      <c r="Q189" s="223"/>
      <c r="R189" s="64"/>
      <c r="S189" s="64"/>
    </row>
    <row r="190" spans="3:19" ht="15.75" thickBot="1">
      <c r="C190" s="2"/>
      <c r="D190" s="72" t="s">
        <v>379</v>
      </c>
      <c r="E190" s="14">
        <v>18.5</v>
      </c>
      <c r="F190" s="15">
        <v>25</v>
      </c>
      <c r="G190" s="14">
        <v>45</v>
      </c>
      <c r="H190" s="15">
        <v>97</v>
      </c>
      <c r="I190" s="27" t="s">
        <v>370</v>
      </c>
      <c r="J190" s="28">
        <v>2900</v>
      </c>
      <c r="K190" s="38" t="s">
        <v>30</v>
      </c>
      <c r="L190" s="39">
        <v>241</v>
      </c>
      <c r="M190" s="42">
        <f>0.46*0.39*1.56</f>
        <v>0.279864</v>
      </c>
      <c r="N190" s="73">
        <v>3592.491</v>
      </c>
      <c r="O190" s="73">
        <v>4175.1149999999998</v>
      </c>
      <c r="P190" s="223"/>
      <c r="Q190" s="223"/>
      <c r="R190" s="64"/>
      <c r="S190" s="64"/>
    </row>
    <row r="191" spans="3:19" ht="15.75" thickBot="1">
      <c r="C191" s="2"/>
      <c r="D191" s="72" t="s">
        <v>380</v>
      </c>
      <c r="E191" s="14">
        <v>22</v>
      </c>
      <c r="F191" s="15">
        <v>30</v>
      </c>
      <c r="G191" s="14">
        <v>45</v>
      </c>
      <c r="H191" s="15">
        <v>108</v>
      </c>
      <c r="I191" s="27" t="s">
        <v>370</v>
      </c>
      <c r="J191" s="28">
        <v>2900</v>
      </c>
      <c r="K191" s="38" t="s">
        <v>32</v>
      </c>
      <c r="L191" s="39">
        <v>283</v>
      </c>
      <c r="M191" s="42">
        <f>0.49*0.39*1.66</f>
        <v>0.31722599999999995</v>
      </c>
      <c r="N191" s="73">
        <v>4210.4580000000005</v>
      </c>
      <c r="O191" s="73">
        <v>4793.0819999999994</v>
      </c>
      <c r="P191" s="223"/>
      <c r="Q191" s="223"/>
      <c r="R191" s="64"/>
      <c r="S191" s="64"/>
    </row>
    <row r="192" spans="3:19" ht="15.75" thickBot="1">
      <c r="C192" s="2"/>
      <c r="D192" s="72" t="s">
        <v>381</v>
      </c>
      <c r="E192" s="14">
        <v>22</v>
      </c>
      <c r="F192" s="15">
        <v>30</v>
      </c>
      <c r="G192" s="14">
        <v>45</v>
      </c>
      <c r="H192" s="15">
        <v>116</v>
      </c>
      <c r="I192" s="27" t="s">
        <v>370</v>
      </c>
      <c r="J192" s="28">
        <v>2900</v>
      </c>
      <c r="K192" s="38" t="s">
        <v>32</v>
      </c>
      <c r="L192" s="39">
        <v>283</v>
      </c>
      <c r="M192" s="42">
        <f>0.49*0.39*1.66</f>
        <v>0.31722599999999995</v>
      </c>
      <c r="N192" s="73">
        <v>4210.4580000000005</v>
      </c>
      <c r="O192" s="73">
        <v>4793.0819999999994</v>
      </c>
      <c r="P192" s="223"/>
      <c r="Q192" s="223"/>
      <c r="R192" s="64"/>
      <c r="S192" s="64"/>
    </row>
    <row r="193" spans="3:19" ht="15.75" thickBot="1">
      <c r="C193" s="2"/>
      <c r="D193" s="72" t="s">
        <v>382</v>
      </c>
      <c r="E193" s="14">
        <v>30</v>
      </c>
      <c r="F193" s="15">
        <v>40</v>
      </c>
      <c r="G193" s="14">
        <v>45</v>
      </c>
      <c r="H193" s="15">
        <v>127</v>
      </c>
      <c r="I193" s="27" t="s">
        <v>370</v>
      </c>
      <c r="J193" s="28">
        <v>2900</v>
      </c>
      <c r="K193" s="38" t="s">
        <v>34</v>
      </c>
      <c r="L193" s="39">
        <v>345</v>
      </c>
      <c r="M193" s="42">
        <f>0.51*0.39*1.82</f>
        <v>0.36199800000000004</v>
      </c>
      <c r="N193" s="73">
        <v>5019.7769999999991</v>
      </c>
      <c r="O193" s="73">
        <v>5604.1860000000006</v>
      </c>
      <c r="P193" s="223"/>
      <c r="Q193" s="223"/>
      <c r="R193" s="64"/>
      <c r="S193" s="64"/>
    </row>
    <row r="194" spans="3:19" ht="15.75" thickBot="1">
      <c r="C194" s="2"/>
      <c r="D194" s="72" t="s">
        <v>383</v>
      </c>
      <c r="E194" s="14">
        <v>30</v>
      </c>
      <c r="F194" s="15">
        <v>40</v>
      </c>
      <c r="G194" s="14">
        <v>45</v>
      </c>
      <c r="H194" s="15">
        <v>135</v>
      </c>
      <c r="I194" s="27" t="s">
        <v>370</v>
      </c>
      <c r="J194" s="28">
        <v>2900</v>
      </c>
      <c r="K194" s="38" t="s">
        <v>34</v>
      </c>
      <c r="L194" s="39">
        <v>345</v>
      </c>
      <c r="M194" s="42">
        <f>0.51*0.39*1.82</f>
        <v>0.36199800000000004</v>
      </c>
      <c r="N194" s="73">
        <v>5019.7769999999991</v>
      </c>
      <c r="O194" s="73">
        <v>5604.1860000000006</v>
      </c>
      <c r="P194" s="223"/>
      <c r="Q194" s="223"/>
      <c r="R194" s="64"/>
      <c r="S194" s="64"/>
    </row>
    <row r="195" spans="3:19" ht="15.75" thickBot="1">
      <c r="C195" s="2"/>
      <c r="D195" s="72" t="s">
        <v>384</v>
      </c>
      <c r="E195" s="14">
        <v>30</v>
      </c>
      <c r="F195" s="15">
        <v>40</v>
      </c>
      <c r="G195" s="14">
        <v>45</v>
      </c>
      <c r="H195" s="15">
        <v>146</v>
      </c>
      <c r="I195" s="27" t="s">
        <v>370</v>
      </c>
      <c r="J195" s="28">
        <v>2900</v>
      </c>
      <c r="K195" s="38" t="s">
        <v>36</v>
      </c>
      <c r="L195" s="39">
        <v>350</v>
      </c>
      <c r="M195" s="42">
        <f>0.51*0.39*1.9</f>
        <v>0.37791000000000002</v>
      </c>
      <c r="N195" s="73">
        <v>5149.3680000000004</v>
      </c>
      <c r="O195" s="73">
        <v>5730.2069999999994</v>
      </c>
      <c r="P195" s="223"/>
      <c r="Q195" s="223"/>
      <c r="R195" s="64"/>
      <c r="S195" s="64"/>
    </row>
    <row r="196" spans="3:19" ht="15.75" thickBot="1">
      <c r="C196" s="2"/>
      <c r="D196" s="72" t="s">
        <v>385</v>
      </c>
      <c r="E196" s="14">
        <v>30</v>
      </c>
      <c r="F196" s="15">
        <v>40</v>
      </c>
      <c r="G196" s="14">
        <v>45</v>
      </c>
      <c r="H196" s="15">
        <v>154</v>
      </c>
      <c r="I196" s="27" t="s">
        <v>370</v>
      </c>
      <c r="J196" s="28">
        <v>2900</v>
      </c>
      <c r="K196" s="38" t="s">
        <v>36</v>
      </c>
      <c r="L196" s="39">
        <v>350</v>
      </c>
      <c r="M196" s="42">
        <f>0.51*0.39*1.9</f>
        <v>0.37791000000000002</v>
      </c>
      <c r="N196" s="73">
        <v>5149.3680000000004</v>
      </c>
      <c r="O196" s="73">
        <v>5730.2069999999994</v>
      </c>
      <c r="P196" s="223"/>
      <c r="Q196" s="223"/>
      <c r="R196" s="64"/>
      <c r="S196" s="64"/>
    </row>
    <row r="197" spans="3:19" ht="15.75" thickBot="1">
      <c r="C197" s="2"/>
      <c r="D197" s="72" t="s">
        <v>386</v>
      </c>
      <c r="E197" s="14">
        <v>30</v>
      </c>
      <c r="F197" s="15">
        <v>40</v>
      </c>
      <c r="G197" s="14">
        <v>45</v>
      </c>
      <c r="H197" s="15">
        <v>166</v>
      </c>
      <c r="I197" s="27" t="s">
        <v>370</v>
      </c>
      <c r="J197" s="28">
        <v>2900</v>
      </c>
      <c r="K197" s="38" t="s">
        <v>38</v>
      </c>
      <c r="L197" s="39">
        <v>356</v>
      </c>
      <c r="M197" s="42">
        <f>0.51*0.39*1.98</f>
        <v>0.39382200000000006</v>
      </c>
      <c r="N197" s="73">
        <v>5273.9610000000002</v>
      </c>
      <c r="O197" s="73">
        <v>5856.585</v>
      </c>
      <c r="P197" s="223"/>
      <c r="Q197" s="223"/>
      <c r="R197" s="64"/>
      <c r="S197" s="64"/>
    </row>
    <row r="198" spans="3:19" ht="15.75" thickBot="1">
      <c r="C198" s="2"/>
      <c r="D198" s="72" t="s">
        <v>387</v>
      </c>
      <c r="E198" s="14">
        <v>37</v>
      </c>
      <c r="F198" s="15">
        <v>50</v>
      </c>
      <c r="G198" s="14">
        <v>45</v>
      </c>
      <c r="H198" s="15">
        <v>174</v>
      </c>
      <c r="I198" s="27" t="s">
        <v>370</v>
      </c>
      <c r="J198" s="28">
        <v>2900</v>
      </c>
      <c r="K198" s="38" t="s">
        <v>38</v>
      </c>
      <c r="L198" s="39">
        <v>380</v>
      </c>
      <c r="M198" s="42">
        <f>0.51*0.39*1.98</f>
        <v>0.39382200000000006</v>
      </c>
      <c r="N198" s="73">
        <v>5500.6559999999999</v>
      </c>
      <c r="O198" s="73">
        <v>6081.8519999999999</v>
      </c>
      <c r="P198" s="223"/>
      <c r="Q198" s="223"/>
      <c r="R198" s="64"/>
      <c r="S198" s="64"/>
    </row>
    <row r="199" spans="3:19" ht="15.75" thickBot="1">
      <c r="C199" s="2"/>
      <c r="D199" s="72" t="s">
        <v>388</v>
      </c>
      <c r="E199" s="14">
        <v>37</v>
      </c>
      <c r="F199" s="15">
        <v>50</v>
      </c>
      <c r="G199" s="14">
        <v>45</v>
      </c>
      <c r="H199" s="15">
        <v>185</v>
      </c>
      <c r="I199" s="27" t="s">
        <v>370</v>
      </c>
      <c r="J199" s="28">
        <v>2900</v>
      </c>
      <c r="K199" s="38" t="s">
        <v>40</v>
      </c>
      <c r="L199" s="39">
        <v>384</v>
      </c>
      <c r="M199" s="42">
        <f>0.51*0.39*2.06</f>
        <v>0.40973400000000004</v>
      </c>
      <c r="N199" s="73">
        <v>5712.357</v>
      </c>
      <c r="O199" s="73">
        <v>6294.6239999999998</v>
      </c>
      <c r="P199" s="223"/>
      <c r="Q199" s="223"/>
      <c r="R199" s="64"/>
      <c r="S199" s="64"/>
    </row>
    <row r="200" spans="3:19" ht="15.75" thickBot="1">
      <c r="C200" s="2"/>
      <c r="D200" s="72" t="s">
        <v>389</v>
      </c>
      <c r="E200" s="14">
        <v>37</v>
      </c>
      <c r="F200" s="15">
        <v>50</v>
      </c>
      <c r="G200" s="14">
        <v>45</v>
      </c>
      <c r="H200" s="15">
        <v>193</v>
      </c>
      <c r="I200" s="27" t="s">
        <v>370</v>
      </c>
      <c r="J200" s="28">
        <v>2900</v>
      </c>
      <c r="K200" s="38" t="s">
        <v>40</v>
      </c>
      <c r="L200" s="39">
        <v>384</v>
      </c>
      <c r="M200" s="42">
        <f>0.51*0.39*2.06</f>
        <v>0.40973400000000004</v>
      </c>
      <c r="N200" s="73">
        <v>5712.357</v>
      </c>
      <c r="O200" s="73">
        <v>6294.6239999999998</v>
      </c>
      <c r="P200" s="223"/>
      <c r="Q200" s="223"/>
      <c r="R200" s="64"/>
      <c r="S200" s="64"/>
    </row>
    <row r="201" spans="3:19" ht="15.75" thickBot="1">
      <c r="C201" s="2"/>
      <c r="D201" s="72" t="s">
        <v>390</v>
      </c>
      <c r="E201" s="14">
        <v>45</v>
      </c>
      <c r="F201" s="15">
        <v>60</v>
      </c>
      <c r="G201" s="14">
        <v>45</v>
      </c>
      <c r="H201" s="15">
        <v>206</v>
      </c>
      <c r="I201" s="27" t="s">
        <v>370</v>
      </c>
      <c r="J201" s="28">
        <v>2900</v>
      </c>
      <c r="K201" s="38" t="s">
        <v>42</v>
      </c>
      <c r="L201" s="39">
        <v>459</v>
      </c>
      <c r="M201" s="42">
        <f>0.55*0.39*2.17</f>
        <v>0.46546500000000002</v>
      </c>
      <c r="N201" s="73">
        <v>6567.0150000000003</v>
      </c>
      <c r="O201" s="73">
        <v>7149.2819999999992</v>
      </c>
      <c r="P201" s="223"/>
      <c r="Q201" s="223"/>
      <c r="R201" s="64"/>
      <c r="S201" s="64"/>
    </row>
    <row r="202" spans="3:19" ht="15.75" thickBot="1">
      <c r="C202" s="2"/>
      <c r="D202" s="72" t="s">
        <v>391</v>
      </c>
      <c r="E202" s="14">
        <v>45</v>
      </c>
      <c r="F202" s="15">
        <v>60</v>
      </c>
      <c r="G202" s="14">
        <v>45</v>
      </c>
      <c r="H202" s="15">
        <v>214</v>
      </c>
      <c r="I202" s="27" t="s">
        <v>370</v>
      </c>
      <c r="J202" s="28">
        <v>2900</v>
      </c>
      <c r="K202" s="38" t="s">
        <v>42</v>
      </c>
      <c r="L202" s="39">
        <v>459</v>
      </c>
      <c r="M202" s="42">
        <f>0.55*0.39*2.17</f>
        <v>0.46546500000000002</v>
      </c>
      <c r="N202" s="73">
        <v>6567.0150000000003</v>
      </c>
      <c r="O202" s="73">
        <v>7149.2819999999992</v>
      </c>
      <c r="P202" s="223"/>
      <c r="Q202" s="223"/>
      <c r="R202" s="64"/>
      <c r="S202" s="64"/>
    </row>
    <row r="203" spans="3:19" ht="15.75" thickBot="1">
      <c r="C203" s="2"/>
      <c r="D203" s="72" t="s">
        <v>392</v>
      </c>
      <c r="E203" s="14">
        <v>45</v>
      </c>
      <c r="F203" s="15">
        <v>60</v>
      </c>
      <c r="G203" s="14">
        <v>45</v>
      </c>
      <c r="H203" s="15">
        <v>226</v>
      </c>
      <c r="I203" s="27" t="s">
        <v>370</v>
      </c>
      <c r="J203" s="28">
        <v>2900</v>
      </c>
      <c r="K203" s="38" t="s">
        <v>44</v>
      </c>
      <c r="L203" s="39">
        <v>466</v>
      </c>
      <c r="M203" s="42">
        <f>0.55*0.39*2.25</f>
        <v>0.48262500000000008</v>
      </c>
      <c r="N203" s="73">
        <v>6695.8919999999998</v>
      </c>
      <c r="O203" s="73">
        <v>7278.5160000000005</v>
      </c>
      <c r="P203" s="223"/>
      <c r="Q203" s="223"/>
      <c r="R203" s="64"/>
      <c r="S203" s="64"/>
    </row>
    <row r="204" spans="3:19" ht="15.75" thickBot="1">
      <c r="C204" s="2"/>
      <c r="D204" s="72" t="s">
        <v>393</v>
      </c>
      <c r="E204" s="14">
        <v>45</v>
      </c>
      <c r="F204" s="15">
        <v>60</v>
      </c>
      <c r="G204" s="14">
        <v>45</v>
      </c>
      <c r="H204" s="15">
        <v>236</v>
      </c>
      <c r="I204" s="27" t="s">
        <v>370</v>
      </c>
      <c r="J204" s="28">
        <v>2900</v>
      </c>
      <c r="K204" s="38" t="s">
        <v>44</v>
      </c>
      <c r="L204" s="39">
        <v>466</v>
      </c>
      <c r="M204" s="42">
        <f>0.55*0.39*2.25</f>
        <v>0.48262500000000008</v>
      </c>
      <c r="N204" s="73">
        <v>6695.8919999999998</v>
      </c>
      <c r="O204" s="73">
        <v>7278.5160000000005</v>
      </c>
      <c r="P204" s="223"/>
      <c r="Q204" s="223"/>
      <c r="R204" s="64"/>
      <c r="S204" s="64"/>
    </row>
    <row r="205" spans="3:19" ht="15.75" thickBot="1">
      <c r="C205" s="2"/>
      <c r="D205" s="72" t="s">
        <v>394</v>
      </c>
      <c r="E205" s="14">
        <v>45</v>
      </c>
      <c r="F205" s="15">
        <v>60</v>
      </c>
      <c r="G205" s="14">
        <v>45</v>
      </c>
      <c r="H205" s="15">
        <v>247</v>
      </c>
      <c r="I205" s="27" t="s">
        <v>370</v>
      </c>
      <c r="J205" s="28">
        <v>2900</v>
      </c>
      <c r="K205" s="38" t="s">
        <v>46</v>
      </c>
      <c r="L205" s="39">
        <v>473</v>
      </c>
      <c r="M205" s="42">
        <f>0.55*0.39*2.33</f>
        <v>0.49978500000000009</v>
      </c>
      <c r="N205" s="73">
        <v>6826.1969999999992</v>
      </c>
      <c r="O205" s="73">
        <v>7407.3930000000009</v>
      </c>
      <c r="P205" s="223"/>
      <c r="Q205" s="223"/>
      <c r="R205" s="64"/>
      <c r="S205" s="64"/>
    </row>
    <row r="206" spans="3:19" ht="15.75" thickBot="1">
      <c r="C206" s="2"/>
      <c r="D206" s="72" t="s">
        <v>395</v>
      </c>
      <c r="E206" s="14">
        <v>4</v>
      </c>
      <c r="F206" s="15">
        <v>5.5</v>
      </c>
      <c r="G206" s="14">
        <v>64</v>
      </c>
      <c r="H206" s="15">
        <v>13</v>
      </c>
      <c r="I206" s="27" t="s">
        <v>396</v>
      </c>
      <c r="J206" s="28">
        <v>2900</v>
      </c>
      <c r="K206" s="38" t="s">
        <v>137</v>
      </c>
      <c r="L206" s="39">
        <v>103</v>
      </c>
      <c r="M206" s="42">
        <f>0.39*0.39*0.94</f>
        <v>0.14297400000000002</v>
      </c>
      <c r="N206" s="73">
        <v>1501.5420000000001</v>
      </c>
      <c r="O206" s="73">
        <v>2044.8959999999997</v>
      </c>
      <c r="P206" s="223"/>
      <c r="Q206" s="223"/>
      <c r="R206" s="64"/>
      <c r="S206" s="64"/>
    </row>
    <row r="207" spans="3:19" ht="15.75" thickBot="1">
      <c r="C207" s="2"/>
      <c r="D207" s="72" t="s">
        <v>397</v>
      </c>
      <c r="E207" s="14">
        <v>5.5</v>
      </c>
      <c r="F207" s="15">
        <v>7.5</v>
      </c>
      <c r="G207" s="14">
        <v>64</v>
      </c>
      <c r="H207" s="15">
        <v>20</v>
      </c>
      <c r="I207" s="27" t="s">
        <v>396</v>
      </c>
      <c r="J207" s="28">
        <v>2900</v>
      </c>
      <c r="K207" s="38" t="s">
        <v>137</v>
      </c>
      <c r="L207" s="39">
        <v>116</v>
      </c>
      <c r="M207" s="42">
        <f>0.41*0.39*0.97</f>
        <v>0.15510299999999999</v>
      </c>
      <c r="N207" s="73">
        <v>1723.596</v>
      </c>
      <c r="O207" s="73">
        <v>2265.8790000000004</v>
      </c>
      <c r="P207" s="223"/>
      <c r="Q207" s="223"/>
      <c r="R207" s="64"/>
      <c r="S207" s="64"/>
    </row>
    <row r="208" spans="3:19" ht="15.75" thickBot="1">
      <c r="C208" s="2"/>
      <c r="D208" s="72" t="s">
        <v>398</v>
      </c>
      <c r="E208" s="14">
        <v>7.5</v>
      </c>
      <c r="F208" s="15">
        <v>10</v>
      </c>
      <c r="G208" s="14">
        <v>64</v>
      </c>
      <c r="H208" s="15">
        <v>26</v>
      </c>
      <c r="I208" s="27" t="s">
        <v>396</v>
      </c>
      <c r="J208" s="28">
        <v>2900</v>
      </c>
      <c r="K208" s="38" t="s">
        <v>24</v>
      </c>
      <c r="L208" s="39">
        <v>122</v>
      </c>
      <c r="M208" s="42">
        <f>0.41*0.39*1.05</f>
        <v>0.16789499999999999</v>
      </c>
      <c r="N208" s="73">
        <v>2044.8959999999997</v>
      </c>
      <c r="O208" s="73">
        <v>2587.1790000000005</v>
      </c>
      <c r="P208" s="223"/>
      <c r="Q208" s="223"/>
      <c r="R208" s="64"/>
      <c r="S208" s="64"/>
    </row>
    <row r="209" spans="3:19" ht="15.75" thickBot="1">
      <c r="C209" s="2"/>
      <c r="D209" s="72" t="s">
        <v>399</v>
      </c>
      <c r="E209" s="14">
        <v>11</v>
      </c>
      <c r="F209" s="15">
        <v>15</v>
      </c>
      <c r="G209" s="14">
        <v>64</v>
      </c>
      <c r="H209" s="15">
        <v>33</v>
      </c>
      <c r="I209" s="27" t="s">
        <v>396</v>
      </c>
      <c r="J209" s="28">
        <v>2900</v>
      </c>
      <c r="K209" s="38" t="s">
        <v>24</v>
      </c>
      <c r="L209" s="39">
        <v>198</v>
      </c>
      <c r="M209" s="42">
        <f>0.46*0.39*1.27</f>
        <v>0.22783800000000001</v>
      </c>
      <c r="N209" s="73">
        <v>2716.77</v>
      </c>
      <c r="O209" s="73">
        <v>3287.6130000000003</v>
      </c>
      <c r="P209" s="223"/>
      <c r="Q209" s="223"/>
      <c r="R209" s="64"/>
      <c r="S209" s="64"/>
    </row>
    <row r="210" spans="3:19" ht="15.75" thickBot="1">
      <c r="C210" s="2"/>
      <c r="D210" s="72" t="s">
        <v>400</v>
      </c>
      <c r="E210" s="14">
        <v>11</v>
      </c>
      <c r="F210" s="15">
        <v>15</v>
      </c>
      <c r="G210" s="14">
        <v>64</v>
      </c>
      <c r="H210" s="15">
        <v>40</v>
      </c>
      <c r="I210" s="27" t="s">
        <v>396</v>
      </c>
      <c r="J210" s="28">
        <v>2900</v>
      </c>
      <c r="K210" s="38" t="s">
        <v>24</v>
      </c>
      <c r="L210" s="39">
        <v>198</v>
      </c>
      <c r="M210" s="42">
        <f>0.46*0.39*1.27</f>
        <v>0.22783800000000001</v>
      </c>
      <c r="N210" s="73">
        <v>2716.77</v>
      </c>
      <c r="O210" s="73">
        <v>3287.6130000000003</v>
      </c>
      <c r="P210" s="223"/>
      <c r="Q210" s="223"/>
      <c r="R210" s="64"/>
      <c r="S210" s="64"/>
    </row>
    <row r="211" spans="3:19" ht="15.75" thickBot="1">
      <c r="C211" s="2"/>
      <c r="D211" s="72" t="s">
        <v>401</v>
      </c>
      <c r="E211" s="14">
        <v>15</v>
      </c>
      <c r="F211" s="15">
        <v>20</v>
      </c>
      <c r="G211" s="14">
        <v>64</v>
      </c>
      <c r="H211" s="15">
        <v>46</v>
      </c>
      <c r="I211" s="27" t="s">
        <v>396</v>
      </c>
      <c r="J211" s="28">
        <v>2900</v>
      </c>
      <c r="K211" s="38" t="s">
        <v>26</v>
      </c>
      <c r="L211" s="39">
        <v>213</v>
      </c>
      <c r="M211" s="42">
        <f>0.46*0.39*1.36</f>
        <v>0.24398400000000003</v>
      </c>
      <c r="N211" s="73">
        <v>3184.0830000000001</v>
      </c>
      <c r="O211" s="73">
        <v>3851.3159999999998</v>
      </c>
      <c r="P211" s="223"/>
      <c r="Q211" s="223"/>
      <c r="R211" s="64"/>
      <c r="S211" s="64"/>
    </row>
    <row r="212" spans="3:19" ht="15.75" thickBot="1">
      <c r="C212" s="2"/>
      <c r="D212" s="72" t="s">
        <v>402</v>
      </c>
      <c r="E212" s="14">
        <v>15</v>
      </c>
      <c r="F212" s="15">
        <v>20</v>
      </c>
      <c r="G212" s="14">
        <v>64</v>
      </c>
      <c r="H212" s="15">
        <v>53</v>
      </c>
      <c r="I212" s="27" t="s">
        <v>396</v>
      </c>
      <c r="J212" s="28">
        <v>2900</v>
      </c>
      <c r="K212" s="38" t="s">
        <v>26</v>
      </c>
      <c r="L212" s="39">
        <v>214</v>
      </c>
      <c r="M212" s="42">
        <f>0.46*0.39*1.36</f>
        <v>0.24398400000000003</v>
      </c>
      <c r="N212" s="73">
        <v>3184.0830000000001</v>
      </c>
      <c r="O212" s="73">
        <v>3851.3159999999998</v>
      </c>
      <c r="P212" s="223"/>
      <c r="Q212" s="223"/>
      <c r="R212" s="64"/>
      <c r="S212" s="64"/>
    </row>
    <row r="213" spans="3:19" ht="15.75" thickBot="1">
      <c r="C213" s="2"/>
      <c r="D213" s="72" t="s">
        <v>403</v>
      </c>
      <c r="E213" s="14">
        <v>18.5</v>
      </c>
      <c r="F213" s="15">
        <v>25</v>
      </c>
      <c r="G213" s="14">
        <v>64</v>
      </c>
      <c r="H213" s="15">
        <v>60</v>
      </c>
      <c r="I213" s="27" t="s">
        <v>396</v>
      </c>
      <c r="J213" s="28">
        <v>2900</v>
      </c>
      <c r="K213" s="38" t="s">
        <v>26</v>
      </c>
      <c r="L213" s="39">
        <v>239</v>
      </c>
      <c r="M213" s="42">
        <f>0.46*0.39*1.41</f>
        <v>0.25295400000000001</v>
      </c>
      <c r="N213" s="73">
        <v>3334.7370000000001</v>
      </c>
      <c r="O213" s="73">
        <v>4003.0409999999997</v>
      </c>
      <c r="P213" s="223"/>
      <c r="Q213" s="223"/>
      <c r="R213" s="64"/>
      <c r="S213" s="64"/>
    </row>
    <row r="214" spans="3:19" ht="15.75" thickBot="1">
      <c r="C214" s="2"/>
      <c r="D214" s="72" t="s">
        <v>404</v>
      </c>
      <c r="E214" s="14">
        <v>18.5</v>
      </c>
      <c r="F214" s="15">
        <v>25</v>
      </c>
      <c r="G214" s="14">
        <v>64</v>
      </c>
      <c r="H214" s="15">
        <v>66</v>
      </c>
      <c r="I214" s="27" t="s">
        <v>396</v>
      </c>
      <c r="J214" s="28">
        <v>2900</v>
      </c>
      <c r="K214" s="38" t="s">
        <v>28</v>
      </c>
      <c r="L214" s="39">
        <v>244</v>
      </c>
      <c r="M214" s="42">
        <f>0.46*0.39*1.49</f>
        <v>0.26730599999999999</v>
      </c>
      <c r="N214" s="73">
        <v>3540.0120000000002</v>
      </c>
      <c r="O214" s="73">
        <v>4208.3160000000007</v>
      </c>
      <c r="P214" s="223"/>
      <c r="Q214" s="223"/>
      <c r="R214" s="64"/>
      <c r="S214" s="64"/>
    </row>
    <row r="215" spans="3:19" ht="15.75" thickBot="1">
      <c r="C215" s="2"/>
      <c r="D215" s="72" t="s">
        <v>405</v>
      </c>
      <c r="E215" s="14">
        <v>22</v>
      </c>
      <c r="F215" s="15">
        <v>30</v>
      </c>
      <c r="G215" s="14">
        <v>64</v>
      </c>
      <c r="H215" s="15">
        <v>73</v>
      </c>
      <c r="I215" s="27" t="s">
        <v>396</v>
      </c>
      <c r="J215" s="28">
        <v>2900</v>
      </c>
      <c r="K215" s="38" t="s">
        <v>28</v>
      </c>
      <c r="L215" s="39">
        <v>278</v>
      </c>
      <c r="M215" s="42">
        <f>0.49*0.39*1.51</f>
        <v>0.28856100000000001</v>
      </c>
      <c r="N215" s="73">
        <v>4030.53</v>
      </c>
      <c r="O215" s="73">
        <v>4699.1910000000007</v>
      </c>
      <c r="P215" s="223"/>
      <c r="Q215" s="223"/>
      <c r="R215" s="64"/>
      <c r="S215" s="64"/>
    </row>
    <row r="216" spans="3:19" ht="15.75" thickBot="1">
      <c r="C216" s="2"/>
      <c r="D216" s="72" t="s">
        <v>406</v>
      </c>
      <c r="E216" s="14">
        <v>22</v>
      </c>
      <c r="F216" s="15">
        <v>30</v>
      </c>
      <c r="G216" s="14">
        <v>64</v>
      </c>
      <c r="H216" s="15">
        <v>80</v>
      </c>
      <c r="I216" s="27" t="s">
        <v>396</v>
      </c>
      <c r="J216" s="28">
        <v>2900</v>
      </c>
      <c r="K216" s="38" t="s">
        <v>28</v>
      </c>
      <c r="L216" s="39">
        <v>278</v>
      </c>
      <c r="M216" s="42">
        <f>0.49*0.39*1.51</f>
        <v>0.28856100000000001</v>
      </c>
      <c r="N216" s="73">
        <v>4030.53</v>
      </c>
      <c r="O216" s="73">
        <v>4699.1910000000007</v>
      </c>
      <c r="P216" s="223"/>
      <c r="Q216" s="223"/>
      <c r="R216" s="64"/>
      <c r="S216" s="64"/>
    </row>
    <row r="217" spans="3:19" ht="15.75" thickBot="1">
      <c r="C217" s="2"/>
      <c r="D217" s="72" t="s">
        <v>407</v>
      </c>
      <c r="E217" s="14">
        <v>30</v>
      </c>
      <c r="F217" s="15">
        <v>40</v>
      </c>
      <c r="G217" s="14">
        <v>64</v>
      </c>
      <c r="H217" s="15">
        <v>88</v>
      </c>
      <c r="I217" s="27" t="s">
        <v>396</v>
      </c>
      <c r="J217" s="28">
        <v>2900</v>
      </c>
      <c r="K217" s="38" t="s">
        <v>30</v>
      </c>
      <c r="L217" s="39">
        <v>342</v>
      </c>
      <c r="M217" s="42">
        <f>0.51*0.39*1.67</f>
        <v>0.33216300000000004</v>
      </c>
      <c r="N217" s="73">
        <v>4885.5450000000001</v>
      </c>
      <c r="O217" s="73">
        <v>5554.2060000000001</v>
      </c>
      <c r="P217" s="223"/>
      <c r="Q217" s="223"/>
      <c r="R217" s="64"/>
      <c r="S217" s="64"/>
    </row>
    <row r="218" spans="3:19" ht="15.75" thickBot="1">
      <c r="C218" s="2"/>
      <c r="D218" s="72" t="s">
        <v>408</v>
      </c>
      <c r="E218" s="14">
        <v>30</v>
      </c>
      <c r="F218" s="15">
        <v>40</v>
      </c>
      <c r="G218" s="14">
        <v>64</v>
      </c>
      <c r="H218" s="15">
        <v>95</v>
      </c>
      <c r="I218" s="27" t="s">
        <v>396</v>
      </c>
      <c r="J218" s="28">
        <v>2900</v>
      </c>
      <c r="K218" s="38" t="s">
        <v>30</v>
      </c>
      <c r="L218" s="39">
        <v>342</v>
      </c>
      <c r="M218" s="42">
        <f>0.51*0.39*1.67</f>
        <v>0.33216300000000004</v>
      </c>
      <c r="N218" s="73">
        <v>4885.5450000000001</v>
      </c>
      <c r="O218" s="73">
        <v>5554.2060000000001</v>
      </c>
      <c r="P218" s="223"/>
      <c r="Q218" s="223"/>
      <c r="R218" s="64"/>
      <c r="S218" s="64"/>
    </row>
    <row r="219" spans="3:19" ht="15.75" thickBot="1">
      <c r="C219" s="2"/>
      <c r="D219" s="72" t="s">
        <v>409</v>
      </c>
      <c r="E219" s="14">
        <v>30</v>
      </c>
      <c r="F219" s="15">
        <v>40</v>
      </c>
      <c r="G219" s="14">
        <v>64</v>
      </c>
      <c r="H219" s="15">
        <v>102</v>
      </c>
      <c r="I219" s="27" t="s">
        <v>396</v>
      </c>
      <c r="J219" s="28">
        <v>2900</v>
      </c>
      <c r="K219" s="38" t="s">
        <v>30</v>
      </c>
      <c r="L219" s="39">
        <v>343</v>
      </c>
      <c r="M219" s="42">
        <f>0.51*0.39*1.67</f>
        <v>0.33216300000000004</v>
      </c>
      <c r="N219" s="73">
        <v>4885.5450000000001</v>
      </c>
      <c r="O219" s="73">
        <v>5554.2060000000001</v>
      </c>
      <c r="P219" s="223"/>
      <c r="Q219" s="223"/>
      <c r="R219" s="64"/>
      <c r="S219" s="64"/>
    </row>
    <row r="220" spans="3:19" ht="15.75" thickBot="1">
      <c r="C220" s="2"/>
      <c r="D220" s="72" t="s">
        <v>410</v>
      </c>
      <c r="E220" s="14">
        <v>30</v>
      </c>
      <c r="F220" s="15">
        <v>40</v>
      </c>
      <c r="G220" s="14">
        <v>64</v>
      </c>
      <c r="H220" s="15">
        <v>110</v>
      </c>
      <c r="I220" s="27" t="s">
        <v>396</v>
      </c>
      <c r="J220" s="28">
        <v>2900</v>
      </c>
      <c r="K220" s="38" t="s">
        <v>32</v>
      </c>
      <c r="L220" s="39">
        <v>349</v>
      </c>
      <c r="M220" s="42">
        <f>0.51*0.39*1.75</f>
        <v>0.34807500000000002</v>
      </c>
      <c r="N220" s="73">
        <v>5026.2030000000004</v>
      </c>
      <c r="O220" s="73">
        <v>5694.1500000000005</v>
      </c>
      <c r="P220" s="223"/>
      <c r="Q220" s="223"/>
      <c r="R220" s="64"/>
      <c r="S220" s="64"/>
    </row>
    <row r="221" spans="3:19" ht="15.75" thickBot="1">
      <c r="C221" s="2"/>
      <c r="D221" s="72" t="s">
        <v>411</v>
      </c>
      <c r="E221" s="14">
        <v>37</v>
      </c>
      <c r="F221" s="15">
        <v>50</v>
      </c>
      <c r="G221" s="14">
        <v>64</v>
      </c>
      <c r="H221" s="15">
        <v>117</v>
      </c>
      <c r="I221" s="27" t="s">
        <v>396</v>
      </c>
      <c r="J221" s="28">
        <v>2900</v>
      </c>
      <c r="K221" s="38" t="s">
        <v>32</v>
      </c>
      <c r="L221" s="39">
        <v>373</v>
      </c>
      <c r="M221" s="42">
        <f>0.51*0.39*1.75</f>
        <v>0.34807500000000002</v>
      </c>
      <c r="N221" s="73">
        <v>5252.5410000000002</v>
      </c>
      <c r="O221" s="73">
        <v>5921.2019999999993</v>
      </c>
      <c r="P221" s="223"/>
      <c r="Q221" s="223"/>
      <c r="R221" s="64"/>
      <c r="S221" s="64"/>
    </row>
    <row r="222" spans="3:19" ht="15.75" thickBot="1">
      <c r="C222" s="2"/>
      <c r="D222" s="72" t="s">
        <v>412</v>
      </c>
      <c r="E222" s="14">
        <v>37</v>
      </c>
      <c r="F222" s="15">
        <v>50</v>
      </c>
      <c r="G222" s="14">
        <v>64</v>
      </c>
      <c r="H222" s="15">
        <v>124</v>
      </c>
      <c r="I222" s="27" t="s">
        <v>396</v>
      </c>
      <c r="J222" s="28">
        <v>2900</v>
      </c>
      <c r="K222" s="38" t="s">
        <v>32</v>
      </c>
      <c r="L222" s="39">
        <v>373</v>
      </c>
      <c r="M222" s="42">
        <f>0.51*0.39*1.75</f>
        <v>0.34807500000000002</v>
      </c>
      <c r="N222" s="73">
        <v>5252.5410000000002</v>
      </c>
      <c r="O222" s="73">
        <v>5921.2019999999993</v>
      </c>
      <c r="P222" s="223"/>
      <c r="Q222" s="223"/>
      <c r="R222" s="64"/>
      <c r="S222" s="64"/>
    </row>
    <row r="223" spans="3:19" ht="15.75" thickBot="1">
      <c r="C223" s="2"/>
      <c r="D223" s="72" t="s">
        <v>413</v>
      </c>
      <c r="E223" s="14">
        <v>37</v>
      </c>
      <c r="F223" s="15">
        <v>50</v>
      </c>
      <c r="G223" s="14">
        <v>64</v>
      </c>
      <c r="H223" s="15">
        <v>132</v>
      </c>
      <c r="I223" s="27" t="s">
        <v>396</v>
      </c>
      <c r="J223" s="28">
        <v>2900</v>
      </c>
      <c r="K223" s="38" t="s">
        <v>34</v>
      </c>
      <c r="L223" s="39">
        <v>379</v>
      </c>
      <c r="M223" s="42">
        <f>0.51*0.39*1.84</f>
        <v>0.36597600000000008</v>
      </c>
      <c r="N223" s="73">
        <v>5428.5419999999995</v>
      </c>
      <c r="O223" s="73">
        <v>6096.8460000000005</v>
      </c>
      <c r="P223" s="223"/>
      <c r="Q223" s="223"/>
      <c r="R223" s="64"/>
      <c r="S223" s="64"/>
    </row>
    <row r="224" spans="3:19" ht="15.75" thickBot="1">
      <c r="C224" s="2"/>
      <c r="D224" s="72" t="s">
        <v>414</v>
      </c>
      <c r="E224" s="14">
        <v>37</v>
      </c>
      <c r="F224" s="15">
        <v>50</v>
      </c>
      <c r="G224" s="14">
        <v>64</v>
      </c>
      <c r="H224" s="15">
        <v>139</v>
      </c>
      <c r="I224" s="27" t="s">
        <v>396</v>
      </c>
      <c r="J224" s="28">
        <v>2900</v>
      </c>
      <c r="K224" s="38" t="s">
        <v>34</v>
      </c>
      <c r="L224" s="39">
        <v>379</v>
      </c>
      <c r="M224" s="42">
        <f>0.51*0.39*1.84</f>
        <v>0.36597600000000008</v>
      </c>
      <c r="N224" s="73">
        <v>5428.5419999999995</v>
      </c>
      <c r="O224" s="73">
        <v>6096.8460000000005</v>
      </c>
      <c r="P224" s="223"/>
      <c r="Q224" s="223"/>
      <c r="R224" s="64"/>
      <c r="S224" s="64"/>
    </row>
    <row r="225" spans="3:19" ht="15.75" thickBot="1">
      <c r="C225" s="2"/>
      <c r="D225" s="72" t="s">
        <v>415</v>
      </c>
      <c r="E225" s="14">
        <v>45</v>
      </c>
      <c r="F225" s="15">
        <v>60</v>
      </c>
      <c r="G225" s="14">
        <v>64</v>
      </c>
      <c r="H225" s="15">
        <v>146</v>
      </c>
      <c r="I225" s="27" t="s">
        <v>396</v>
      </c>
      <c r="J225" s="28">
        <v>2900</v>
      </c>
      <c r="K225" s="38" t="s">
        <v>34</v>
      </c>
      <c r="L225" s="39">
        <v>448</v>
      </c>
      <c r="M225" s="42">
        <f>0.54*0.39*1.87</f>
        <v>0.39382200000000006</v>
      </c>
      <c r="N225" s="73">
        <v>6117.1949999999997</v>
      </c>
      <c r="O225" s="73">
        <v>6785.8560000000007</v>
      </c>
      <c r="P225" s="223"/>
      <c r="Q225" s="223"/>
      <c r="R225" s="64"/>
      <c r="S225" s="64"/>
    </row>
    <row r="226" spans="3:19" ht="15.75" thickBot="1">
      <c r="C226" s="2"/>
      <c r="D226" s="72" t="s">
        <v>416</v>
      </c>
      <c r="E226" s="14">
        <v>45</v>
      </c>
      <c r="F226" s="15">
        <v>60</v>
      </c>
      <c r="G226" s="14">
        <v>64</v>
      </c>
      <c r="H226" s="15">
        <v>154</v>
      </c>
      <c r="I226" s="27" t="s">
        <v>396</v>
      </c>
      <c r="J226" s="28">
        <v>2900</v>
      </c>
      <c r="K226" s="38" t="s">
        <v>36</v>
      </c>
      <c r="L226" s="39">
        <v>453</v>
      </c>
      <c r="M226" s="42">
        <f>0.54*0.39*1.95</f>
        <v>0.41067000000000004</v>
      </c>
      <c r="N226" s="73">
        <v>6240.36</v>
      </c>
      <c r="O226" s="73">
        <v>6908.3069999999998</v>
      </c>
      <c r="P226" s="223"/>
      <c r="Q226" s="223"/>
      <c r="R226" s="64"/>
      <c r="S226" s="64"/>
    </row>
    <row r="227" spans="3:19" ht="15.75" thickBot="1">
      <c r="C227" s="2"/>
      <c r="D227" s="72" t="s">
        <v>417</v>
      </c>
      <c r="E227" s="14">
        <v>45</v>
      </c>
      <c r="F227" s="15">
        <v>60</v>
      </c>
      <c r="G227" s="14">
        <v>64</v>
      </c>
      <c r="H227" s="15">
        <v>161</v>
      </c>
      <c r="I227" s="27" t="s">
        <v>396</v>
      </c>
      <c r="J227" s="28">
        <v>2900</v>
      </c>
      <c r="K227" s="38" t="s">
        <v>36</v>
      </c>
      <c r="L227" s="39">
        <v>453</v>
      </c>
      <c r="M227" s="42">
        <f>0.54*0.39*1.95</f>
        <v>0.41067000000000004</v>
      </c>
      <c r="N227" s="73">
        <v>6240.36</v>
      </c>
      <c r="O227" s="73">
        <v>6908.3069999999998</v>
      </c>
      <c r="P227" s="223"/>
      <c r="Q227" s="223"/>
      <c r="R227" s="64"/>
      <c r="S227" s="64"/>
    </row>
    <row r="228" spans="3:19" ht="15.75" thickBot="1">
      <c r="C228" s="2"/>
      <c r="D228" s="72" t="s">
        <v>418</v>
      </c>
      <c r="E228" s="14">
        <v>5.5</v>
      </c>
      <c r="F228" s="15">
        <v>7.5</v>
      </c>
      <c r="G228" s="14">
        <v>90</v>
      </c>
      <c r="H228" s="15">
        <v>13</v>
      </c>
      <c r="I228" s="27" t="s">
        <v>396</v>
      </c>
      <c r="J228" s="28">
        <v>2900</v>
      </c>
      <c r="K228" s="38" t="s">
        <v>137</v>
      </c>
      <c r="L228" s="39">
        <v>117</v>
      </c>
      <c r="M228" s="42">
        <f>0.42*0.41*0.98</f>
        <v>0.16875599999999999</v>
      </c>
      <c r="N228" s="73">
        <v>2089.1640000000002</v>
      </c>
      <c r="O228" s="73">
        <v>2519.3490000000002</v>
      </c>
      <c r="P228" s="223"/>
      <c r="Q228" s="223"/>
      <c r="R228" s="64"/>
      <c r="S228" s="64"/>
    </row>
    <row r="229" spans="3:19" ht="15.75" thickBot="1">
      <c r="C229" s="2"/>
      <c r="D229" s="72" t="s">
        <v>419</v>
      </c>
      <c r="E229" s="14">
        <v>7.5</v>
      </c>
      <c r="F229" s="15">
        <v>10</v>
      </c>
      <c r="G229" s="14">
        <v>90</v>
      </c>
      <c r="H229" s="15">
        <v>19</v>
      </c>
      <c r="I229" s="27" t="s">
        <v>396</v>
      </c>
      <c r="J229" s="28">
        <v>2900</v>
      </c>
      <c r="K229" s="38" t="s">
        <v>137</v>
      </c>
      <c r="L229" s="39">
        <v>122</v>
      </c>
      <c r="M229" s="42">
        <f>0.42*0.41*0.98</f>
        <v>0.16875599999999999</v>
      </c>
      <c r="N229" s="73">
        <v>2145.2130000000002</v>
      </c>
      <c r="O229" s="73">
        <v>2580.7530000000002</v>
      </c>
      <c r="P229" s="223"/>
      <c r="Q229" s="223"/>
      <c r="R229" s="64"/>
      <c r="S229" s="64"/>
    </row>
    <row r="230" spans="3:19" ht="15.75" thickBot="1">
      <c r="C230" s="2"/>
      <c r="D230" s="72" t="s">
        <v>420</v>
      </c>
      <c r="E230" s="14">
        <v>11</v>
      </c>
      <c r="F230" s="15">
        <v>15</v>
      </c>
      <c r="G230" s="14">
        <v>90</v>
      </c>
      <c r="H230" s="15">
        <v>28</v>
      </c>
      <c r="I230" s="27" t="s">
        <v>396</v>
      </c>
      <c r="J230" s="28">
        <v>2900</v>
      </c>
      <c r="K230" s="38" t="s">
        <v>24</v>
      </c>
      <c r="L230" s="39">
        <v>198</v>
      </c>
      <c r="M230" s="42">
        <f>0.47*0.41*1.29</f>
        <v>0.24858299999999997</v>
      </c>
      <c r="N230" s="73">
        <v>3225.8519999999999</v>
      </c>
      <c r="O230" s="73">
        <v>3682.4549999999999</v>
      </c>
      <c r="P230" s="223"/>
      <c r="Q230" s="223"/>
      <c r="R230" s="64"/>
      <c r="S230" s="64"/>
    </row>
    <row r="231" spans="3:19" ht="15.75" thickBot="1">
      <c r="C231" s="2"/>
      <c r="D231" s="72" t="s">
        <v>421</v>
      </c>
      <c r="E231" s="14">
        <v>15</v>
      </c>
      <c r="F231" s="15">
        <v>20</v>
      </c>
      <c r="G231" s="14">
        <v>90</v>
      </c>
      <c r="H231" s="15">
        <v>40</v>
      </c>
      <c r="I231" s="27" t="s">
        <v>396</v>
      </c>
      <c r="J231" s="28">
        <v>2900</v>
      </c>
      <c r="K231" s="38" t="s">
        <v>24</v>
      </c>
      <c r="L231" s="39">
        <v>209</v>
      </c>
      <c r="M231" s="42">
        <f>0.47*0.41*1.29</f>
        <v>0.24858299999999997</v>
      </c>
      <c r="N231" s="73">
        <v>3284.4</v>
      </c>
      <c r="O231" s="73">
        <v>3743.8590000000004</v>
      </c>
      <c r="P231" s="223"/>
      <c r="Q231" s="223"/>
      <c r="R231" s="64"/>
      <c r="S231" s="64"/>
    </row>
    <row r="232" spans="3:19" ht="15.75" thickBot="1">
      <c r="C232" s="2"/>
      <c r="D232" s="72" t="s">
        <v>422</v>
      </c>
      <c r="E232" s="14">
        <v>18.5</v>
      </c>
      <c r="F232" s="15">
        <v>25</v>
      </c>
      <c r="G232" s="14">
        <v>90</v>
      </c>
      <c r="H232" s="15">
        <v>49</v>
      </c>
      <c r="I232" s="27" t="s">
        <v>396</v>
      </c>
      <c r="J232" s="28">
        <v>2900</v>
      </c>
      <c r="K232" s="38" t="s">
        <v>26</v>
      </c>
      <c r="L232" s="39">
        <v>234</v>
      </c>
      <c r="M232" s="42">
        <f>0.47*0.41*1.44</f>
        <v>0.27748799999999996</v>
      </c>
      <c r="N232" s="73">
        <v>3592.491</v>
      </c>
      <c r="O232" s="73">
        <v>4052.6640000000002</v>
      </c>
      <c r="P232" s="223"/>
      <c r="Q232" s="223"/>
      <c r="R232" s="64"/>
      <c r="S232" s="64"/>
    </row>
    <row r="233" spans="3:19" ht="15.75" thickBot="1">
      <c r="C233" s="2"/>
      <c r="D233" s="72" t="s">
        <v>423</v>
      </c>
      <c r="E233" s="14">
        <v>22</v>
      </c>
      <c r="F233" s="15">
        <v>30</v>
      </c>
      <c r="G233" s="14">
        <v>90</v>
      </c>
      <c r="H233" s="15">
        <v>62</v>
      </c>
      <c r="I233" s="27" t="s">
        <v>396</v>
      </c>
      <c r="J233" s="28">
        <v>2900</v>
      </c>
      <c r="K233" s="38" t="s">
        <v>26</v>
      </c>
      <c r="L233" s="39">
        <v>273</v>
      </c>
      <c r="M233" s="42">
        <f>0.5*0.41*1.46</f>
        <v>0.29929999999999995</v>
      </c>
      <c r="N233" s="73">
        <v>4085.8650000000002</v>
      </c>
      <c r="O233" s="73">
        <v>4545.3239999999996</v>
      </c>
      <c r="P233" s="223"/>
      <c r="Q233" s="223"/>
      <c r="R233" s="64"/>
      <c r="S233" s="64"/>
    </row>
    <row r="234" spans="3:19" ht="15.75" thickBot="1">
      <c r="C234" s="2"/>
      <c r="D234" s="72" t="s">
        <v>424</v>
      </c>
      <c r="E234" s="14">
        <v>30</v>
      </c>
      <c r="F234" s="15">
        <v>40</v>
      </c>
      <c r="G234" s="14">
        <v>90</v>
      </c>
      <c r="H234" s="15">
        <v>72</v>
      </c>
      <c r="I234" s="27" t="s">
        <v>396</v>
      </c>
      <c r="J234" s="28">
        <v>2900</v>
      </c>
      <c r="K234" s="38" t="s">
        <v>28</v>
      </c>
      <c r="L234" s="39">
        <v>336</v>
      </c>
      <c r="M234" s="42">
        <f>0.52*0.41*1.63</f>
        <v>0.34751599999999999</v>
      </c>
      <c r="N234" s="73">
        <v>5002.2839999999997</v>
      </c>
      <c r="O234" s="73">
        <v>5460.3150000000005</v>
      </c>
      <c r="P234" s="223"/>
      <c r="Q234" s="223"/>
      <c r="R234" s="64"/>
      <c r="S234" s="64"/>
    </row>
    <row r="235" spans="3:19" ht="15.75" thickBot="1">
      <c r="C235" s="2"/>
      <c r="D235" s="72" t="s">
        <v>425</v>
      </c>
      <c r="E235" s="14">
        <v>30</v>
      </c>
      <c r="F235" s="15">
        <v>40</v>
      </c>
      <c r="G235" s="14">
        <v>90</v>
      </c>
      <c r="H235" s="15">
        <v>84</v>
      </c>
      <c r="I235" s="27" t="s">
        <v>396</v>
      </c>
      <c r="J235" s="28">
        <v>2900</v>
      </c>
      <c r="K235" s="38" t="s">
        <v>28</v>
      </c>
      <c r="L235" s="39">
        <v>336</v>
      </c>
      <c r="M235" s="42">
        <f>0.52*0.41*1.63</f>
        <v>0.34751599999999999</v>
      </c>
      <c r="N235" s="73">
        <v>5002.2839999999997</v>
      </c>
      <c r="O235" s="73">
        <v>5460.3150000000005</v>
      </c>
      <c r="P235" s="223"/>
      <c r="Q235" s="223"/>
      <c r="R235" s="64"/>
      <c r="S235" s="64"/>
    </row>
    <row r="236" spans="3:19" ht="15.75" thickBot="1">
      <c r="C236" s="2"/>
      <c r="D236" s="72" t="s">
        <v>426</v>
      </c>
      <c r="E236" s="14">
        <v>37</v>
      </c>
      <c r="F236" s="15">
        <v>50</v>
      </c>
      <c r="G236" s="14">
        <v>90</v>
      </c>
      <c r="H236" s="15">
        <v>93</v>
      </c>
      <c r="I236" s="27" t="s">
        <v>396</v>
      </c>
      <c r="J236" s="28">
        <v>2900</v>
      </c>
      <c r="K236" s="38" t="s">
        <v>30</v>
      </c>
      <c r="L236" s="39">
        <v>362</v>
      </c>
      <c r="M236" s="42">
        <f>0.52*0.41*1.72</f>
        <v>0.36670399999999997</v>
      </c>
      <c r="N236" s="73">
        <v>5432.826</v>
      </c>
      <c r="O236" s="73">
        <v>5891.5709999999999</v>
      </c>
      <c r="P236" s="223"/>
      <c r="Q236" s="223"/>
      <c r="R236" s="64"/>
      <c r="S236" s="64"/>
    </row>
    <row r="237" spans="3:19" ht="15.75" thickBot="1">
      <c r="C237" s="2"/>
      <c r="D237" s="72" t="s">
        <v>427</v>
      </c>
      <c r="E237" s="14">
        <v>37</v>
      </c>
      <c r="F237" s="15">
        <v>50</v>
      </c>
      <c r="G237" s="14">
        <v>90</v>
      </c>
      <c r="H237" s="15">
        <v>106</v>
      </c>
      <c r="I237" s="27" t="s">
        <v>396</v>
      </c>
      <c r="J237" s="28">
        <v>2900</v>
      </c>
      <c r="K237" s="38" t="s">
        <v>30</v>
      </c>
      <c r="L237" s="39">
        <v>362</v>
      </c>
      <c r="M237" s="42">
        <f>0.52*0.41*1.72</f>
        <v>0.36670399999999997</v>
      </c>
      <c r="N237" s="73">
        <v>5432.826</v>
      </c>
      <c r="O237" s="73">
        <v>5891.5709999999999</v>
      </c>
      <c r="P237" s="223"/>
      <c r="Q237" s="223"/>
      <c r="R237" s="64"/>
      <c r="S237" s="64"/>
    </row>
    <row r="238" spans="3:19" ht="15.75" thickBot="1">
      <c r="C238" s="2"/>
      <c r="D238" s="72" t="s">
        <v>428</v>
      </c>
      <c r="E238" s="14">
        <v>45</v>
      </c>
      <c r="F238" s="15">
        <v>60</v>
      </c>
      <c r="G238" s="14">
        <v>90</v>
      </c>
      <c r="H238" s="15">
        <v>117</v>
      </c>
      <c r="I238" s="27" t="s">
        <v>396</v>
      </c>
      <c r="J238" s="28">
        <v>2900</v>
      </c>
      <c r="K238" s="38" t="s">
        <v>32</v>
      </c>
      <c r="L238" s="39">
        <v>436</v>
      </c>
      <c r="M238" s="42">
        <f>0.55*0.41*1.85</f>
        <v>0.41717500000000002</v>
      </c>
      <c r="N238" s="73">
        <v>6329.61</v>
      </c>
      <c r="O238" s="73">
        <v>6793.71</v>
      </c>
      <c r="P238" s="223"/>
      <c r="Q238" s="223"/>
      <c r="R238" s="64"/>
      <c r="S238" s="64"/>
    </row>
    <row r="239" spans="3:19" ht="15.75" thickBot="1">
      <c r="C239" s="2"/>
      <c r="D239" s="72" t="s">
        <v>429</v>
      </c>
      <c r="E239" s="14">
        <v>45</v>
      </c>
      <c r="F239" s="15">
        <v>60</v>
      </c>
      <c r="G239" s="14">
        <v>90</v>
      </c>
      <c r="H239" s="15">
        <v>130</v>
      </c>
      <c r="I239" s="27" t="s">
        <v>396</v>
      </c>
      <c r="J239" s="28">
        <v>2900</v>
      </c>
      <c r="K239" s="38" t="s">
        <v>32</v>
      </c>
      <c r="L239" s="39">
        <v>436</v>
      </c>
      <c r="M239" s="42">
        <f>0.55*0.41*1.85</f>
        <v>0.41717500000000002</v>
      </c>
      <c r="N239" s="73">
        <v>6329.61</v>
      </c>
      <c r="O239" s="73">
        <v>6793.71</v>
      </c>
      <c r="P239" s="223"/>
      <c r="Q239" s="223"/>
      <c r="R239" s="64"/>
      <c r="S239" s="64"/>
    </row>
    <row r="240" spans="3:19" ht="15.75" thickBot="1">
      <c r="C240" s="2"/>
      <c r="D240" s="72" t="s">
        <v>430</v>
      </c>
      <c r="E240" s="14">
        <v>11</v>
      </c>
      <c r="F240" s="15">
        <v>15</v>
      </c>
      <c r="G240" s="14">
        <v>120</v>
      </c>
      <c r="H240" s="15">
        <v>18.5</v>
      </c>
      <c r="I240" s="27" t="s">
        <v>431</v>
      </c>
      <c r="J240" s="28">
        <v>2900</v>
      </c>
      <c r="K240" s="38" t="s">
        <v>137</v>
      </c>
      <c r="L240" s="39">
        <v>260</v>
      </c>
      <c r="M240" s="42">
        <f>1.36*0.47*0.59</f>
        <v>0.37712799999999996</v>
      </c>
      <c r="N240" s="73">
        <v>5473.8810000000003</v>
      </c>
      <c r="O240" s="73">
        <v>7184.625</v>
      </c>
      <c r="P240" s="223"/>
      <c r="Q240" s="223"/>
      <c r="R240" s="64"/>
      <c r="S240" s="64"/>
    </row>
    <row r="241" spans="3:19" ht="15.75" thickBot="1">
      <c r="C241" s="2"/>
      <c r="D241" s="72" t="s">
        <v>432</v>
      </c>
      <c r="E241" s="14">
        <v>15</v>
      </c>
      <c r="F241" s="15">
        <v>20</v>
      </c>
      <c r="G241" s="14">
        <v>120</v>
      </c>
      <c r="H241" s="15">
        <v>28.5</v>
      </c>
      <c r="I241" s="27" t="s">
        <v>431</v>
      </c>
      <c r="J241" s="28">
        <v>2900</v>
      </c>
      <c r="K241" s="38" t="s">
        <v>24</v>
      </c>
      <c r="L241" s="39">
        <v>279</v>
      </c>
      <c r="M241" s="42">
        <f>1.52*0.47*0.59</f>
        <v>0.42149599999999993</v>
      </c>
      <c r="N241" s="73">
        <v>6500.2560000000003</v>
      </c>
      <c r="O241" s="73">
        <v>8347.7310000000016</v>
      </c>
      <c r="P241" s="223"/>
      <c r="Q241" s="223"/>
      <c r="R241" s="64"/>
      <c r="S241" s="64"/>
    </row>
    <row r="242" spans="3:19" ht="15.75" thickBot="1">
      <c r="C242" s="2"/>
      <c r="D242" s="72" t="s">
        <v>433</v>
      </c>
      <c r="E242" s="14">
        <v>18.5</v>
      </c>
      <c r="F242" s="15">
        <v>25</v>
      </c>
      <c r="G242" s="14">
        <v>120</v>
      </c>
      <c r="H242" s="15">
        <v>34.5</v>
      </c>
      <c r="I242" s="27" t="s">
        <v>431</v>
      </c>
      <c r="J242" s="28">
        <v>2900</v>
      </c>
      <c r="K242" s="38" t="s">
        <v>24</v>
      </c>
      <c r="L242" s="39">
        <v>285</v>
      </c>
      <c r="M242" s="42">
        <f>1.57*0.47*0.59</f>
        <v>0.435361</v>
      </c>
      <c r="N242" s="73">
        <v>6842.6189999999997</v>
      </c>
      <c r="O242" s="73">
        <v>8553.0060000000012</v>
      </c>
      <c r="P242" s="223"/>
      <c r="Q242" s="223"/>
      <c r="R242" s="64"/>
      <c r="S242" s="64"/>
    </row>
    <row r="243" spans="3:19" ht="15.75" thickBot="1">
      <c r="C243" s="2"/>
      <c r="D243" s="72" t="s">
        <v>434</v>
      </c>
      <c r="E243" s="14">
        <v>22</v>
      </c>
      <c r="F243" s="15">
        <v>30</v>
      </c>
      <c r="G243" s="14">
        <v>120</v>
      </c>
      <c r="H243" s="15">
        <v>40</v>
      </c>
      <c r="I243" s="27" t="s">
        <v>431</v>
      </c>
      <c r="J243" s="28">
        <v>2900</v>
      </c>
      <c r="K243" s="38" t="s">
        <v>24</v>
      </c>
      <c r="L243" s="39">
        <v>323</v>
      </c>
      <c r="M243" s="42">
        <f>1.6*0.5*0.59</f>
        <v>0.47199999999999998</v>
      </c>
      <c r="N243" s="73">
        <v>7389.9000000000005</v>
      </c>
      <c r="O243" s="73">
        <v>9032.1</v>
      </c>
      <c r="P243" s="223"/>
      <c r="Q243" s="223"/>
      <c r="R243" s="64"/>
      <c r="S243" s="64"/>
    </row>
    <row r="244" spans="3:19" ht="15.75" thickBot="1">
      <c r="C244" s="2"/>
      <c r="D244" s="72" t="s">
        <v>435</v>
      </c>
      <c r="E244" s="14">
        <v>30</v>
      </c>
      <c r="F244" s="15">
        <v>40</v>
      </c>
      <c r="G244" s="14">
        <v>120</v>
      </c>
      <c r="H244" s="15">
        <v>49</v>
      </c>
      <c r="I244" s="27" t="s">
        <v>431</v>
      </c>
      <c r="J244" s="28">
        <v>2900</v>
      </c>
      <c r="K244" s="38" t="s">
        <v>26</v>
      </c>
      <c r="L244" s="39">
        <v>406</v>
      </c>
      <c r="M244" s="42">
        <f>1.83*0.53*0.59</f>
        <v>0.572241</v>
      </c>
      <c r="N244" s="73">
        <v>9305.9189999999999</v>
      </c>
      <c r="O244" s="73">
        <v>11016.306</v>
      </c>
      <c r="P244" s="223"/>
      <c r="Q244" s="223"/>
      <c r="R244" s="64"/>
      <c r="S244" s="64"/>
    </row>
    <row r="245" spans="3:19" ht="15.75" thickBot="1">
      <c r="C245" s="2"/>
      <c r="D245" s="72" t="s">
        <v>436</v>
      </c>
      <c r="E245" s="14">
        <v>30</v>
      </c>
      <c r="F245" s="15">
        <v>40</v>
      </c>
      <c r="G245" s="14">
        <v>120</v>
      </c>
      <c r="H245" s="15">
        <v>55.5</v>
      </c>
      <c r="I245" s="27" t="s">
        <v>431</v>
      </c>
      <c r="J245" s="28">
        <v>2900</v>
      </c>
      <c r="K245" s="38" t="s">
        <v>26</v>
      </c>
      <c r="L245" s="39">
        <v>406</v>
      </c>
      <c r="M245" s="42">
        <f>1.83*0.53*0.59</f>
        <v>0.572241</v>
      </c>
      <c r="N245" s="73">
        <v>9305.9189999999999</v>
      </c>
      <c r="O245" s="73">
        <v>11016.306</v>
      </c>
      <c r="P245" s="223"/>
      <c r="Q245" s="223"/>
      <c r="R245" s="64"/>
      <c r="S245" s="64"/>
    </row>
    <row r="246" spans="3:19" ht="15.75" thickBot="1">
      <c r="C246" s="2"/>
      <c r="D246" s="72" t="s">
        <v>437</v>
      </c>
      <c r="E246" s="14">
        <v>30</v>
      </c>
      <c r="F246" s="15">
        <v>40</v>
      </c>
      <c r="G246" s="14">
        <v>120</v>
      </c>
      <c r="H246" s="15">
        <v>61</v>
      </c>
      <c r="I246" s="27" t="s">
        <v>431</v>
      </c>
      <c r="J246" s="28">
        <v>2900</v>
      </c>
      <c r="K246" s="38" t="s">
        <v>26</v>
      </c>
      <c r="L246" s="39">
        <v>406</v>
      </c>
      <c r="M246" s="42">
        <f>1.83*0.53*0.59</f>
        <v>0.572241</v>
      </c>
      <c r="N246" s="73">
        <v>9305.9189999999999</v>
      </c>
      <c r="O246" s="73">
        <v>11016.306</v>
      </c>
      <c r="P246" s="223"/>
      <c r="Q246" s="223"/>
      <c r="R246" s="64"/>
      <c r="S246" s="64"/>
    </row>
    <row r="247" spans="3:19" ht="15.75" thickBot="1">
      <c r="C247" s="2"/>
      <c r="D247" s="72" t="s">
        <v>438</v>
      </c>
      <c r="E247" s="14">
        <v>37</v>
      </c>
      <c r="F247" s="15">
        <v>50</v>
      </c>
      <c r="G247" s="14">
        <v>120</v>
      </c>
      <c r="H247" s="15">
        <v>69</v>
      </c>
      <c r="I247" s="27" t="s">
        <v>431</v>
      </c>
      <c r="J247" s="28">
        <v>2900</v>
      </c>
      <c r="K247" s="38" t="s">
        <v>28</v>
      </c>
      <c r="L247" s="39">
        <v>450</v>
      </c>
      <c r="M247" s="42">
        <f>1.99*0.53*0.59</f>
        <v>0.62227299999999997</v>
      </c>
      <c r="N247" s="73">
        <v>10948.118999999999</v>
      </c>
      <c r="O247" s="73">
        <v>12521.775</v>
      </c>
      <c r="P247" s="223"/>
      <c r="Q247" s="223"/>
      <c r="R247" s="64"/>
      <c r="S247" s="64"/>
    </row>
    <row r="248" spans="3:19" ht="15.75" thickBot="1">
      <c r="C248" s="2"/>
      <c r="D248" s="72" t="s">
        <v>439</v>
      </c>
      <c r="E248" s="14">
        <v>37</v>
      </c>
      <c r="F248" s="15">
        <v>50</v>
      </c>
      <c r="G248" s="14">
        <v>120</v>
      </c>
      <c r="H248" s="15">
        <v>76</v>
      </c>
      <c r="I248" s="27" t="s">
        <v>431</v>
      </c>
      <c r="J248" s="28">
        <v>2900</v>
      </c>
      <c r="K248" s="38" t="s">
        <v>28</v>
      </c>
      <c r="L248" s="39">
        <v>450</v>
      </c>
      <c r="M248" s="42">
        <f>1.99*0.53*0.59</f>
        <v>0.62227299999999997</v>
      </c>
      <c r="N248" s="73">
        <v>10948.118999999999</v>
      </c>
      <c r="O248" s="73">
        <v>12521.775</v>
      </c>
      <c r="P248" s="223"/>
      <c r="Q248" s="223"/>
      <c r="R248" s="64"/>
      <c r="S248" s="64"/>
    </row>
    <row r="249" spans="3:19" ht="15.75" thickBot="1">
      <c r="C249" s="2"/>
      <c r="D249" s="72" t="s">
        <v>440</v>
      </c>
      <c r="E249" s="14">
        <v>45</v>
      </c>
      <c r="F249" s="15">
        <v>60</v>
      </c>
      <c r="G249" s="14">
        <v>120</v>
      </c>
      <c r="H249" s="15">
        <v>81</v>
      </c>
      <c r="I249" s="27" t="s">
        <v>431</v>
      </c>
      <c r="J249" s="28">
        <v>2900</v>
      </c>
      <c r="K249" s="38" t="s">
        <v>28</v>
      </c>
      <c r="L249" s="39">
        <v>517</v>
      </c>
      <c r="M249" s="42">
        <f>2.03*0.59*0.59</f>
        <v>0.7066429999999998</v>
      </c>
      <c r="N249" s="73">
        <v>12658.506000000001</v>
      </c>
      <c r="O249" s="73">
        <v>14369.25</v>
      </c>
      <c r="P249" s="223"/>
      <c r="Q249" s="223"/>
      <c r="R249" s="64"/>
      <c r="S249" s="64"/>
    </row>
    <row r="250" spans="3:19" ht="15.75" thickBot="1">
      <c r="C250" s="2"/>
      <c r="D250" s="72" t="s">
        <v>441</v>
      </c>
      <c r="E250" s="14">
        <v>45</v>
      </c>
      <c r="F250" s="15">
        <v>60</v>
      </c>
      <c r="G250" s="14">
        <v>120</v>
      </c>
      <c r="H250" s="15">
        <v>90</v>
      </c>
      <c r="I250" s="27" t="s">
        <v>431</v>
      </c>
      <c r="J250" s="28">
        <v>2900</v>
      </c>
      <c r="K250" s="38" t="s">
        <v>30</v>
      </c>
      <c r="L250" s="39">
        <v>531</v>
      </c>
      <c r="M250" s="42">
        <f>2.19*0.59*0.59</f>
        <v>0.76233899999999988</v>
      </c>
      <c r="N250" s="73">
        <v>13000.868999999999</v>
      </c>
      <c r="O250" s="73">
        <v>14711.256000000001</v>
      </c>
      <c r="P250" s="223"/>
      <c r="Q250" s="223"/>
      <c r="R250" s="64"/>
      <c r="S250" s="64"/>
    </row>
    <row r="251" spans="3:19" ht="15.75" thickBot="1">
      <c r="C251" s="2"/>
      <c r="D251" s="72" t="s">
        <v>442</v>
      </c>
      <c r="E251" s="14">
        <v>45</v>
      </c>
      <c r="F251" s="15">
        <v>60</v>
      </c>
      <c r="G251" s="14">
        <v>120</v>
      </c>
      <c r="H251" s="15">
        <v>97</v>
      </c>
      <c r="I251" s="27" t="s">
        <v>431</v>
      </c>
      <c r="J251" s="28">
        <v>2900</v>
      </c>
      <c r="K251" s="38" t="s">
        <v>30</v>
      </c>
      <c r="L251" s="39">
        <v>531</v>
      </c>
      <c r="M251" s="42">
        <f>2.19*0.59*0.59</f>
        <v>0.76233899999999988</v>
      </c>
      <c r="N251" s="73">
        <v>13000.868999999999</v>
      </c>
      <c r="O251" s="73">
        <v>14711.256000000001</v>
      </c>
      <c r="P251" s="223"/>
      <c r="Q251" s="223"/>
      <c r="R251" s="64"/>
      <c r="S251" s="64"/>
    </row>
    <row r="252" spans="3:19" ht="15.75" thickBot="1">
      <c r="C252" s="2"/>
      <c r="D252" s="72" t="s">
        <v>443</v>
      </c>
      <c r="E252" s="14">
        <v>55</v>
      </c>
      <c r="F252" s="15">
        <v>75</v>
      </c>
      <c r="G252" s="14">
        <v>120</v>
      </c>
      <c r="H252" s="15">
        <v>101.5</v>
      </c>
      <c r="I252" s="27" t="s">
        <v>431</v>
      </c>
      <c r="J252" s="28">
        <v>2900</v>
      </c>
      <c r="K252" s="38" t="s">
        <v>30</v>
      </c>
      <c r="L252" s="39">
        <v>646</v>
      </c>
      <c r="M252" s="42">
        <f>2.29*0.66*0.59</f>
        <v>0.89172600000000002</v>
      </c>
      <c r="N252" s="73">
        <v>14711.256000000001</v>
      </c>
      <c r="O252" s="73">
        <v>16422</v>
      </c>
      <c r="P252" s="223"/>
      <c r="Q252" s="223"/>
      <c r="R252" s="64"/>
      <c r="S252" s="64"/>
    </row>
    <row r="253" spans="3:19" ht="15.75" thickBot="1">
      <c r="C253" s="2"/>
      <c r="D253" s="72" t="s">
        <v>444</v>
      </c>
      <c r="E253" s="14">
        <v>55</v>
      </c>
      <c r="F253" s="15">
        <v>75</v>
      </c>
      <c r="G253" s="14">
        <v>120</v>
      </c>
      <c r="H253" s="15">
        <v>110</v>
      </c>
      <c r="I253" s="27" t="s">
        <v>431</v>
      </c>
      <c r="J253" s="28">
        <v>2900</v>
      </c>
      <c r="K253" s="38" t="s">
        <v>32</v>
      </c>
      <c r="L253" s="39">
        <v>661</v>
      </c>
      <c r="M253" s="42">
        <f>2.45*0.66*0.59</f>
        <v>0.95403000000000004</v>
      </c>
      <c r="N253" s="73">
        <v>15395.625</v>
      </c>
      <c r="O253" s="73">
        <v>16422</v>
      </c>
      <c r="P253" s="223"/>
      <c r="Q253" s="223"/>
      <c r="R253" s="64"/>
      <c r="S253" s="64"/>
    </row>
    <row r="254" spans="3:19" ht="15.75" thickBot="1">
      <c r="C254" s="2"/>
      <c r="D254" s="72" t="s">
        <v>445</v>
      </c>
      <c r="E254" s="14">
        <v>55</v>
      </c>
      <c r="F254" s="15">
        <v>75</v>
      </c>
      <c r="G254" s="14">
        <v>120</v>
      </c>
      <c r="H254" s="15">
        <v>118</v>
      </c>
      <c r="I254" s="27" t="s">
        <v>431</v>
      </c>
      <c r="J254" s="28">
        <v>2900</v>
      </c>
      <c r="K254" s="38" t="s">
        <v>32</v>
      </c>
      <c r="L254" s="39">
        <v>661</v>
      </c>
      <c r="M254" s="42">
        <f>2.45*0.66*0.59</f>
        <v>0.95403000000000004</v>
      </c>
      <c r="N254" s="73">
        <v>15395.625</v>
      </c>
      <c r="O254" s="73">
        <v>16422</v>
      </c>
      <c r="P254" s="223"/>
      <c r="Q254" s="223"/>
      <c r="R254" s="64"/>
      <c r="S254" s="64"/>
    </row>
    <row r="255" spans="3:19" ht="15.75" thickBot="1">
      <c r="C255" s="2"/>
      <c r="D255" s="72" t="s">
        <v>446</v>
      </c>
      <c r="E255" s="14">
        <v>75</v>
      </c>
      <c r="F255" s="15">
        <v>100</v>
      </c>
      <c r="G255" s="14">
        <v>120</v>
      </c>
      <c r="H255" s="15">
        <v>123</v>
      </c>
      <c r="I255" s="27" t="s">
        <v>431</v>
      </c>
      <c r="J255" s="28">
        <v>2900</v>
      </c>
      <c r="K255" s="38" t="s">
        <v>32</v>
      </c>
      <c r="L255" s="39">
        <v>791</v>
      </c>
      <c r="M255" s="42">
        <f>2.54*0.72*0.59</f>
        <v>1.078992</v>
      </c>
      <c r="N255" s="73">
        <v>17448.375</v>
      </c>
      <c r="O255" s="73">
        <v>19159.119000000002</v>
      </c>
      <c r="P255" s="223"/>
      <c r="Q255" s="223"/>
      <c r="R255" s="64"/>
      <c r="S255" s="64"/>
    </row>
    <row r="256" spans="3:19" ht="15.75" thickBot="1">
      <c r="C256" s="2"/>
      <c r="D256" s="72" t="s">
        <v>447</v>
      </c>
      <c r="E256" s="14">
        <v>75</v>
      </c>
      <c r="F256" s="15">
        <v>100</v>
      </c>
      <c r="G256" s="14">
        <v>120</v>
      </c>
      <c r="H256" s="15">
        <v>130</v>
      </c>
      <c r="I256" s="27" t="s">
        <v>431</v>
      </c>
      <c r="J256" s="28">
        <v>2900</v>
      </c>
      <c r="K256" s="38" t="s">
        <v>34</v>
      </c>
      <c r="L256" s="39">
        <v>807</v>
      </c>
      <c r="M256" s="42">
        <f>2.7*0.72*0.59</f>
        <v>1.14696</v>
      </c>
      <c r="N256" s="73">
        <v>18132.744000000002</v>
      </c>
      <c r="O256" s="73">
        <v>19843.131000000001</v>
      </c>
      <c r="P256" s="223"/>
      <c r="Q256" s="223"/>
      <c r="R256" s="64"/>
      <c r="S256" s="64"/>
    </row>
    <row r="257" spans="3:19" ht="15.75" thickBot="1">
      <c r="C257" s="2"/>
      <c r="D257" s="72" t="s">
        <v>448</v>
      </c>
      <c r="E257" s="14">
        <v>75</v>
      </c>
      <c r="F257" s="15">
        <v>100</v>
      </c>
      <c r="G257" s="14">
        <v>120</v>
      </c>
      <c r="H257" s="15">
        <v>137.5</v>
      </c>
      <c r="I257" s="27" t="s">
        <v>431</v>
      </c>
      <c r="J257" s="28">
        <v>2900</v>
      </c>
      <c r="K257" s="38" t="s">
        <v>34</v>
      </c>
      <c r="L257" s="39">
        <v>807</v>
      </c>
      <c r="M257" s="42">
        <f>2.7*0.72*0.59</f>
        <v>1.14696</v>
      </c>
      <c r="N257" s="73">
        <v>18132.744000000002</v>
      </c>
      <c r="O257" s="73">
        <v>19843.131000000001</v>
      </c>
      <c r="P257" s="223"/>
      <c r="Q257" s="223"/>
      <c r="R257" s="64"/>
      <c r="S257" s="64"/>
    </row>
    <row r="258" spans="3:19" ht="15.75" thickBot="1">
      <c r="C258" s="2"/>
      <c r="D258" s="72" t="s">
        <v>449</v>
      </c>
      <c r="E258" s="14">
        <v>75</v>
      </c>
      <c r="F258" s="15">
        <v>100</v>
      </c>
      <c r="G258" s="14">
        <v>120</v>
      </c>
      <c r="H258" s="15">
        <v>145</v>
      </c>
      <c r="I258" s="27" t="s">
        <v>431</v>
      </c>
      <c r="J258" s="28">
        <v>2900</v>
      </c>
      <c r="K258" s="38" t="s">
        <v>34</v>
      </c>
      <c r="L258" s="39">
        <v>807</v>
      </c>
      <c r="M258" s="42">
        <f>2.7*0.72*0.59</f>
        <v>1.14696</v>
      </c>
      <c r="N258" s="73">
        <v>18132.744000000002</v>
      </c>
      <c r="O258" s="73">
        <v>19843.131000000001</v>
      </c>
      <c r="P258" s="223"/>
      <c r="Q258" s="223"/>
      <c r="R258" s="64"/>
      <c r="S258" s="64"/>
    </row>
    <row r="259" spans="3:19" ht="15.75" thickBot="1">
      <c r="C259" s="2"/>
      <c r="D259" s="72" t="s">
        <v>450</v>
      </c>
      <c r="E259" s="14">
        <v>11</v>
      </c>
      <c r="F259" s="15">
        <v>15</v>
      </c>
      <c r="G259" s="14">
        <v>150</v>
      </c>
      <c r="H259" s="15">
        <v>12.5</v>
      </c>
      <c r="I259" s="27" t="s">
        <v>431</v>
      </c>
      <c r="J259" s="28">
        <v>2900</v>
      </c>
      <c r="K259" s="38" t="s">
        <v>137</v>
      </c>
      <c r="L259" s="39">
        <v>260</v>
      </c>
      <c r="M259" s="42">
        <f>1.36*0.47*0.59</f>
        <v>0.37712799999999996</v>
      </c>
      <c r="N259" s="73">
        <v>5679.1559999999999</v>
      </c>
      <c r="O259" s="73">
        <v>7389.9000000000005</v>
      </c>
      <c r="P259" s="223"/>
      <c r="Q259" s="223"/>
      <c r="R259" s="64"/>
      <c r="S259" s="64"/>
    </row>
    <row r="260" spans="3:19" ht="15.75" thickBot="1">
      <c r="C260" s="2"/>
      <c r="D260" s="72" t="s">
        <v>451</v>
      </c>
      <c r="E260" s="14">
        <v>15</v>
      </c>
      <c r="F260" s="15">
        <v>20</v>
      </c>
      <c r="G260" s="14">
        <v>150</v>
      </c>
      <c r="H260" s="15">
        <v>18.5</v>
      </c>
      <c r="I260" s="27" t="s">
        <v>431</v>
      </c>
      <c r="J260" s="28">
        <v>2900</v>
      </c>
      <c r="K260" s="38" t="s">
        <v>137</v>
      </c>
      <c r="L260" s="39">
        <v>265</v>
      </c>
      <c r="M260" s="42">
        <f>1.36*0.47*0.59</f>
        <v>0.37712799999999996</v>
      </c>
      <c r="N260" s="73">
        <v>5816.2439999999997</v>
      </c>
      <c r="O260" s="73">
        <v>7526.6310000000012</v>
      </c>
      <c r="P260" s="223"/>
      <c r="Q260" s="223"/>
      <c r="R260" s="64"/>
      <c r="S260" s="64"/>
    </row>
    <row r="261" spans="3:19" ht="15.75" thickBot="1">
      <c r="C261" s="2"/>
      <c r="D261" s="72" t="s">
        <v>452</v>
      </c>
      <c r="E261" s="14">
        <v>18.5</v>
      </c>
      <c r="F261" s="15">
        <v>25</v>
      </c>
      <c r="G261" s="14">
        <v>150</v>
      </c>
      <c r="H261" s="15">
        <v>27.5</v>
      </c>
      <c r="I261" s="27" t="s">
        <v>431</v>
      </c>
      <c r="J261" s="28">
        <v>2900</v>
      </c>
      <c r="K261" s="38" t="s">
        <v>24</v>
      </c>
      <c r="L261" s="39">
        <v>285</v>
      </c>
      <c r="M261" s="42">
        <f>1.57*0.47*0.59</f>
        <v>0.435361</v>
      </c>
      <c r="N261" s="73">
        <v>6842.6189999999997</v>
      </c>
      <c r="O261" s="73">
        <v>8553.0060000000012</v>
      </c>
      <c r="P261" s="223"/>
      <c r="Q261" s="223"/>
      <c r="R261" s="64"/>
      <c r="S261" s="64"/>
    </row>
    <row r="262" spans="3:19" ht="15.75" thickBot="1">
      <c r="C262" s="2"/>
      <c r="D262" s="72" t="s">
        <v>453</v>
      </c>
      <c r="E262" s="14">
        <v>22</v>
      </c>
      <c r="F262" s="15">
        <v>30</v>
      </c>
      <c r="G262" s="14">
        <v>150</v>
      </c>
      <c r="H262" s="15">
        <v>35</v>
      </c>
      <c r="I262" s="27" t="s">
        <v>431</v>
      </c>
      <c r="J262" s="28">
        <v>2900</v>
      </c>
      <c r="K262" s="38" t="s">
        <v>24</v>
      </c>
      <c r="L262" s="39">
        <v>333</v>
      </c>
      <c r="M262" s="42">
        <f>1.6*0.5*0.59</f>
        <v>0.47199999999999998</v>
      </c>
      <c r="N262" s="73">
        <v>7526.6310000000012</v>
      </c>
      <c r="O262" s="73">
        <v>9237.375</v>
      </c>
      <c r="P262" s="223"/>
      <c r="Q262" s="223"/>
      <c r="R262" s="64"/>
      <c r="S262" s="64"/>
    </row>
    <row r="263" spans="3:19" ht="15.75" thickBot="1">
      <c r="C263" s="2"/>
      <c r="D263" s="72" t="s">
        <v>454</v>
      </c>
      <c r="E263" s="14">
        <v>30</v>
      </c>
      <c r="F263" s="15">
        <v>40</v>
      </c>
      <c r="G263" s="14">
        <v>150</v>
      </c>
      <c r="H263" s="15">
        <v>40</v>
      </c>
      <c r="I263" s="27" t="s">
        <v>431</v>
      </c>
      <c r="J263" s="28">
        <v>2900</v>
      </c>
      <c r="K263" s="38" t="s">
        <v>24</v>
      </c>
      <c r="L263" s="39">
        <v>392</v>
      </c>
      <c r="M263" s="42">
        <f>1.67*0.53*0.59</f>
        <v>0.52220899999999992</v>
      </c>
      <c r="N263" s="73">
        <v>8895.3689999999988</v>
      </c>
      <c r="O263" s="73">
        <v>10605.756000000001</v>
      </c>
      <c r="P263" s="223"/>
      <c r="Q263" s="223"/>
      <c r="R263" s="64"/>
      <c r="S263" s="64"/>
    </row>
    <row r="264" spans="3:19" ht="15.75" thickBot="1">
      <c r="C264" s="2"/>
      <c r="D264" s="72" t="s">
        <v>455</v>
      </c>
      <c r="E264" s="14">
        <v>30</v>
      </c>
      <c r="F264" s="15">
        <v>40</v>
      </c>
      <c r="G264" s="14">
        <v>150</v>
      </c>
      <c r="H264" s="15">
        <v>49</v>
      </c>
      <c r="I264" s="27" t="s">
        <v>431</v>
      </c>
      <c r="J264" s="28">
        <v>2900</v>
      </c>
      <c r="K264" s="38" t="s">
        <v>26</v>
      </c>
      <c r="L264" s="39">
        <v>406</v>
      </c>
      <c r="M264" s="42">
        <f>1.83*0.53*0.59</f>
        <v>0.572241</v>
      </c>
      <c r="N264" s="73">
        <v>9579.3810000000012</v>
      </c>
      <c r="O264" s="73">
        <v>11290.125</v>
      </c>
      <c r="P264" s="223"/>
      <c r="Q264" s="223"/>
      <c r="R264" s="64"/>
      <c r="S264" s="64"/>
    </row>
    <row r="265" spans="3:19" ht="15.75" thickBot="1">
      <c r="C265" s="2"/>
      <c r="D265" s="72" t="s">
        <v>456</v>
      </c>
      <c r="E265" s="14">
        <v>37</v>
      </c>
      <c r="F265" s="15">
        <v>50</v>
      </c>
      <c r="G265" s="14">
        <v>150</v>
      </c>
      <c r="H265" s="15">
        <v>56</v>
      </c>
      <c r="I265" s="27" t="s">
        <v>431</v>
      </c>
      <c r="J265" s="28">
        <v>2900</v>
      </c>
      <c r="K265" s="38" t="s">
        <v>26</v>
      </c>
      <c r="L265" s="39">
        <v>406</v>
      </c>
      <c r="M265" s="42">
        <f>1.83*0.53*0.59</f>
        <v>0.572241</v>
      </c>
      <c r="N265" s="73">
        <v>9921.7439999999988</v>
      </c>
      <c r="O265" s="73">
        <v>11632.131000000001</v>
      </c>
      <c r="P265" s="223"/>
      <c r="Q265" s="223"/>
      <c r="R265" s="64"/>
      <c r="S265" s="64"/>
    </row>
    <row r="266" spans="3:19" ht="15.75" thickBot="1">
      <c r="C266" s="2"/>
      <c r="D266" s="72" t="s">
        <v>457</v>
      </c>
      <c r="E266" s="14">
        <v>37</v>
      </c>
      <c r="F266" s="15">
        <v>50</v>
      </c>
      <c r="G266" s="14">
        <v>150</v>
      </c>
      <c r="H266" s="15">
        <v>63</v>
      </c>
      <c r="I266" s="27" t="s">
        <v>431</v>
      </c>
      <c r="J266" s="28">
        <v>2900</v>
      </c>
      <c r="K266" s="38" t="s">
        <v>26</v>
      </c>
      <c r="L266" s="39">
        <v>431</v>
      </c>
      <c r="M266" s="42">
        <f>1.83*0.53*0.59</f>
        <v>0.572241</v>
      </c>
      <c r="N266" s="73">
        <v>9921.7439999999988</v>
      </c>
      <c r="O266" s="73">
        <v>11632.131000000001</v>
      </c>
      <c r="P266" s="223"/>
      <c r="Q266" s="223"/>
      <c r="R266" s="64"/>
      <c r="S266" s="64"/>
    </row>
    <row r="267" spans="3:19" ht="15.75" thickBot="1">
      <c r="C267" s="2"/>
      <c r="D267" s="72" t="s">
        <v>458</v>
      </c>
      <c r="E267" s="14">
        <v>45</v>
      </c>
      <c r="F267" s="15">
        <v>60</v>
      </c>
      <c r="G267" s="14">
        <v>150</v>
      </c>
      <c r="H267" s="15">
        <v>70.5</v>
      </c>
      <c r="I267" s="27" t="s">
        <v>431</v>
      </c>
      <c r="J267" s="28">
        <v>2900</v>
      </c>
      <c r="K267" s="38" t="s">
        <v>28</v>
      </c>
      <c r="L267" s="39">
        <v>517</v>
      </c>
      <c r="M267" s="42">
        <f>2.03*0.59*0.59</f>
        <v>0.7066429999999998</v>
      </c>
      <c r="N267" s="73">
        <v>11974.493999999999</v>
      </c>
      <c r="O267" s="73">
        <v>14027.243999999999</v>
      </c>
      <c r="P267" s="223"/>
      <c r="Q267" s="223"/>
      <c r="R267" s="64"/>
      <c r="S267" s="64"/>
    </row>
    <row r="268" spans="3:19" ht="15.75" thickBot="1">
      <c r="C268" s="2"/>
      <c r="D268" s="72" t="s">
        <v>459</v>
      </c>
      <c r="E268" s="14">
        <v>45</v>
      </c>
      <c r="F268" s="15">
        <v>60</v>
      </c>
      <c r="G268" s="14">
        <v>150</v>
      </c>
      <c r="H268" s="15">
        <v>77</v>
      </c>
      <c r="I268" s="27" t="s">
        <v>431</v>
      </c>
      <c r="J268" s="28">
        <v>2900</v>
      </c>
      <c r="K268" s="38" t="s">
        <v>28</v>
      </c>
      <c r="L268" s="39">
        <v>517</v>
      </c>
      <c r="M268" s="42">
        <f>2.03*0.59*0.59</f>
        <v>0.7066429999999998</v>
      </c>
      <c r="N268" s="73">
        <v>11974.493999999999</v>
      </c>
      <c r="O268" s="73">
        <v>14027.243999999999</v>
      </c>
      <c r="P268" s="223"/>
      <c r="Q268" s="223"/>
      <c r="R268" s="64"/>
      <c r="S268" s="64"/>
    </row>
    <row r="269" spans="3:19" ht="15.75" thickBot="1">
      <c r="C269" s="2"/>
      <c r="D269" s="72" t="s">
        <v>460</v>
      </c>
      <c r="E269" s="14">
        <v>55</v>
      </c>
      <c r="F269" s="15">
        <v>75</v>
      </c>
      <c r="G269" s="14">
        <v>150</v>
      </c>
      <c r="H269" s="15">
        <v>84</v>
      </c>
      <c r="I269" s="27" t="s">
        <v>431</v>
      </c>
      <c r="J269" s="28">
        <v>2900</v>
      </c>
      <c r="K269" s="38" t="s">
        <v>28</v>
      </c>
      <c r="L269" s="39">
        <v>626</v>
      </c>
      <c r="M269" s="42">
        <f>2.13*0.66*0.59</f>
        <v>0.82942199999999988</v>
      </c>
      <c r="N269" s="73">
        <v>13684.881000000001</v>
      </c>
      <c r="O269" s="73">
        <v>15737.631000000001</v>
      </c>
      <c r="P269" s="223"/>
      <c r="Q269" s="223"/>
      <c r="R269" s="64"/>
      <c r="S269" s="64"/>
    </row>
    <row r="270" spans="3:19" ht="15.75" thickBot="1">
      <c r="C270" s="2"/>
      <c r="D270" s="72" t="s">
        <v>461</v>
      </c>
      <c r="E270" s="14">
        <v>55</v>
      </c>
      <c r="F270" s="15">
        <v>75</v>
      </c>
      <c r="G270" s="14">
        <v>150</v>
      </c>
      <c r="H270" s="15">
        <v>92</v>
      </c>
      <c r="I270" s="27" t="s">
        <v>431</v>
      </c>
      <c r="J270" s="28">
        <v>2900</v>
      </c>
      <c r="K270" s="38" t="s">
        <v>30</v>
      </c>
      <c r="L270" s="39">
        <v>641</v>
      </c>
      <c r="M270" s="42">
        <f>2.29*0.66*0.59</f>
        <v>0.89172600000000002</v>
      </c>
      <c r="N270" s="73">
        <v>14369.25</v>
      </c>
      <c r="O270" s="73">
        <v>16422</v>
      </c>
      <c r="P270" s="223"/>
      <c r="Q270" s="223"/>
      <c r="R270" s="64"/>
      <c r="S270" s="64"/>
    </row>
    <row r="271" spans="3:19" ht="15.75" thickBot="1">
      <c r="C271" s="2"/>
      <c r="D271" s="72" t="s">
        <v>462</v>
      </c>
      <c r="E271" s="14">
        <v>75</v>
      </c>
      <c r="F271" s="15">
        <v>100</v>
      </c>
      <c r="G271" s="14">
        <v>150</v>
      </c>
      <c r="H271" s="15">
        <v>99</v>
      </c>
      <c r="I271" s="27" t="s">
        <v>431</v>
      </c>
      <c r="J271" s="28">
        <v>2900</v>
      </c>
      <c r="K271" s="38" t="s">
        <v>30</v>
      </c>
      <c r="L271" s="39">
        <v>771</v>
      </c>
      <c r="M271" s="42">
        <f>2.38*0.72*0.59</f>
        <v>1.0110239999999999</v>
      </c>
      <c r="N271" s="73">
        <v>16764.006000000001</v>
      </c>
      <c r="O271" s="73">
        <v>18816.756000000001</v>
      </c>
      <c r="P271" s="223"/>
      <c r="Q271" s="223"/>
      <c r="R271" s="64"/>
      <c r="S271" s="64"/>
    </row>
    <row r="272" spans="3:19" ht="15.75" thickBot="1">
      <c r="C272" s="2"/>
      <c r="D272" s="72" t="s">
        <v>463</v>
      </c>
      <c r="E272" s="14">
        <v>75</v>
      </c>
      <c r="F272" s="15">
        <v>100</v>
      </c>
      <c r="G272" s="14">
        <v>150</v>
      </c>
      <c r="H272" s="15">
        <v>106.5</v>
      </c>
      <c r="I272" s="27" t="s">
        <v>431</v>
      </c>
      <c r="J272" s="28">
        <v>2900</v>
      </c>
      <c r="K272" s="38" t="s">
        <v>30</v>
      </c>
      <c r="L272" s="39">
        <v>771</v>
      </c>
      <c r="M272" s="42">
        <f>2.38*0.72*0.59</f>
        <v>1.0110239999999999</v>
      </c>
      <c r="N272" s="73">
        <v>16764.006000000001</v>
      </c>
      <c r="O272" s="73">
        <v>18816.756000000001</v>
      </c>
      <c r="P272" s="223"/>
      <c r="Q272" s="223"/>
      <c r="R272" s="64"/>
      <c r="S272" s="64"/>
    </row>
    <row r="273" spans="3:19" ht="15.75" thickBot="1">
      <c r="C273" s="2"/>
      <c r="D273" s="72" t="s">
        <v>464</v>
      </c>
      <c r="E273" s="14">
        <v>75</v>
      </c>
      <c r="F273" s="15">
        <v>100</v>
      </c>
      <c r="G273" s="14">
        <v>150</v>
      </c>
      <c r="H273" s="15">
        <v>112</v>
      </c>
      <c r="I273" s="27" t="s">
        <v>431</v>
      </c>
      <c r="J273" s="28">
        <v>2900</v>
      </c>
      <c r="K273" s="38" t="s">
        <v>32</v>
      </c>
      <c r="L273" s="39">
        <v>786</v>
      </c>
      <c r="M273" s="42">
        <f>2.54*0.72*0.59</f>
        <v>1.078992</v>
      </c>
      <c r="N273" s="73">
        <v>17106.369000000002</v>
      </c>
      <c r="O273" s="73">
        <v>19159.119000000002</v>
      </c>
      <c r="P273" s="223"/>
      <c r="Q273" s="223"/>
      <c r="R273" s="64"/>
      <c r="S273" s="64"/>
    </row>
    <row r="274" spans="3:19" ht="15.75" thickBot="1">
      <c r="C274" s="2"/>
      <c r="D274" s="72" t="s">
        <v>465</v>
      </c>
      <c r="E274" s="14">
        <v>75</v>
      </c>
      <c r="F274" s="15">
        <v>100</v>
      </c>
      <c r="G274" s="14">
        <v>150</v>
      </c>
      <c r="H274" s="15">
        <v>120</v>
      </c>
      <c r="I274" s="27" t="s">
        <v>431</v>
      </c>
      <c r="J274" s="28">
        <v>2900</v>
      </c>
      <c r="K274" s="38" t="s">
        <v>32</v>
      </c>
      <c r="L274" s="39">
        <v>786</v>
      </c>
      <c r="M274" s="42">
        <f>2.54*0.72*0.59</f>
        <v>1.078992</v>
      </c>
      <c r="N274" s="73">
        <v>17106.369000000002</v>
      </c>
      <c r="O274" s="73">
        <v>19159.119000000002</v>
      </c>
      <c r="P274" s="223"/>
      <c r="Q274" s="223"/>
      <c r="R274" s="64"/>
      <c r="S274" s="64"/>
    </row>
    <row r="275" spans="3:19" ht="15.75" thickBot="1">
      <c r="C275" s="2"/>
      <c r="D275" s="72" t="s">
        <v>466</v>
      </c>
      <c r="E275" s="14">
        <v>75</v>
      </c>
      <c r="F275" s="15">
        <v>100</v>
      </c>
      <c r="G275" s="14">
        <v>150</v>
      </c>
      <c r="H275" s="15">
        <v>130</v>
      </c>
      <c r="I275" s="27" t="s">
        <v>431</v>
      </c>
      <c r="J275" s="28">
        <v>2900</v>
      </c>
      <c r="K275" s="38" t="s">
        <v>32</v>
      </c>
      <c r="L275" s="39">
        <v>786</v>
      </c>
      <c r="M275" s="42">
        <f>2.54*0.72*0.59</f>
        <v>1.078992</v>
      </c>
      <c r="N275" s="73">
        <v>17106.369000000002</v>
      </c>
      <c r="O275" s="73">
        <v>19159.119000000002</v>
      </c>
      <c r="P275" s="223"/>
      <c r="Q275" s="223"/>
      <c r="R275" s="64"/>
      <c r="S275" s="64"/>
    </row>
    <row r="276" spans="3:19" ht="15.75" thickBot="1">
      <c r="C276" s="2"/>
      <c r="D276" s="72" t="s">
        <v>467</v>
      </c>
      <c r="E276" s="14">
        <v>18.5</v>
      </c>
      <c r="F276" s="15">
        <v>25</v>
      </c>
      <c r="G276" s="14">
        <v>200</v>
      </c>
      <c r="H276" s="15">
        <v>20</v>
      </c>
      <c r="I276" s="27" t="s">
        <v>468</v>
      </c>
      <c r="J276" s="28">
        <v>2900</v>
      </c>
      <c r="K276" s="38" t="s">
        <v>137</v>
      </c>
      <c r="L276" s="39">
        <v>355</v>
      </c>
      <c r="M276" s="42">
        <f>1.48*0.52*0.72</f>
        <v>0.55411200000000005</v>
      </c>
      <c r="N276" s="73">
        <v>7868.9939999999988</v>
      </c>
      <c r="O276" s="73">
        <v>9921.7439999999988</v>
      </c>
      <c r="P276" s="223"/>
      <c r="Q276" s="223"/>
      <c r="R276" s="64"/>
      <c r="S276" s="64"/>
    </row>
    <row r="277" spans="3:19" ht="15.75" thickBot="1">
      <c r="C277" s="2"/>
      <c r="D277" s="72" t="s">
        <v>469</v>
      </c>
      <c r="E277" s="14">
        <v>22</v>
      </c>
      <c r="F277" s="15">
        <v>30</v>
      </c>
      <c r="G277" s="14">
        <v>200</v>
      </c>
      <c r="H277" s="15">
        <v>24</v>
      </c>
      <c r="I277" s="27" t="s">
        <v>468</v>
      </c>
      <c r="J277" s="28">
        <v>2900</v>
      </c>
      <c r="K277" s="38" t="s">
        <v>137</v>
      </c>
      <c r="L277" s="39">
        <v>395</v>
      </c>
      <c r="M277" s="42">
        <f>1.5*0.55*0.72</f>
        <v>0.59399999999999997</v>
      </c>
      <c r="N277" s="73">
        <v>8211</v>
      </c>
      <c r="O277" s="73">
        <v>10263.75</v>
      </c>
      <c r="P277" s="223"/>
      <c r="Q277" s="223"/>
      <c r="R277" s="64"/>
      <c r="S277" s="64"/>
    </row>
    <row r="278" spans="3:19" ht="15.75" thickBot="1">
      <c r="C278" s="2"/>
      <c r="D278" s="72" t="s">
        <v>470</v>
      </c>
      <c r="E278" s="14">
        <v>30</v>
      </c>
      <c r="F278" s="15">
        <v>40</v>
      </c>
      <c r="G278" s="14">
        <v>200</v>
      </c>
      <c r="H278" s="15">
        <v>34</v>
      </c>
      <c r="I278" s="27" t="s">
        <v>468</v>
      </c>
      <c r="J278" s="28">
        <v>2900</v>
      </c>
      <c r="K278" s="38" t="s">
        <v>137</v>
      </c>
      <c r="L278" s="39">
        <v>456</v>
      </c>
      <c r="M278" s="42">
        <f>1.58*0.58*0.72</f>
        <v>0.65980799999999995</v>
      </c>
      <c r="N278" s="73">
        <v>9237.375</v>
      </c>
      <c r="O278" s="73">
        <v>11290.125</v>
      </c>
      <c r="P278" s="223"/>
      <c r="Q278" s="223"/>
      <c r="R278" s="64"/>
      <c r="S278" s="64"/>
    </row>
    <row r="279" spans="3:19" ht="15.75" thickBot="1">
      <c r="C279" s="2"/>
      <c r="D279" s="72" t="s">
        <v>471</v>
      </c>
      <c r="E279" s="14">
        <v>37</v>
      </c>
      <c r="F279" s="15">
        <v>50</v>
      </c>
      <c r="G279" s="14">
        <v>200</v>
      </c>
      <c r="H279" s="15">
        <v>41</v>
      </c>
      <c r="I279" s="27" t="s">
        <v>468</v>
      </c>
      <c r="J279" s="28">
        <v>2900</v>
      </c>
      <c r="K279" s="38" t="s">
        <v>24</v>
      </c>
      <c r="L279" s="39">
        <v>506</v>
      </c>
      <c r="M279" s="42">
        <f>1.77*0.58*0.72</f>
        <v>0.73915199999999992</v>
      </c>
      <c r="N279" s="73">
        <v>10948.118999999999</v>
      </c>
      <c r="O279" s="73">
        <v>13000.868999999999</v>
      </c>
      <c r="P279" s="223"/>
      <c r="Q279" s="223"/>
      <c r="R279" s="64"/>
      <c r="S279" s="64"/>
    </row>
    <row r="280" spans="3:19" ht="15.75" thickBot="1">
      <c r="C280" s="2"/>
      <c r="D280" s="72" t="s">
        <v>472</v>
      </c>
      <c r="E280" s="14">
        <v>45</v>
      </c>
      <c r="F280" s="15">
        <v>60</v>
      </c>
      <c r="G280" s="14">
        <v>200</v>
      </c>
      <c r="H280" s="15">
        <v>49</v>
      </c>
      <c r="I280" s="27" t="s">
        <v>468</v>
      </c>
      <c r="J280" s="28">
        <v>2900</v>
      </c>
      <c r="K280" s="38" t="s">
        <v>24</v>
      </c>
      <c r="L280" s="39">
        <v>568</v>
      </c>
      <c r="M280" s="42">
        <f>1.81*0.61*0.72</f>
        <v>0.79495199999999999</v>
      </c>
      <c r="N280" s="73">
        <v>11974.493999999999</v>
      </c>
      <c r="O280" s="73">
        <v>14027.243999999999</v>
      </c>
      <c r="P280" s="223"/>
      <c r="Q280" s="223"/>
      <c r="R280" s="64"/>
      <c r="S280" s="64"/>
    </row>
    <row r="281" spans="3:19" ht="15.75" thickBot="1">
      <c r="C281" s="2"/>
      <c r="D281" s="72" t="s">
        <v>473</v>
      </c>
      <c r="E281" s="14">
        <v>55</v>
      </c>
      <c r="F281" s="15">
        <v>75</v>
      </c>
      <c r="G281" s="14">
        <v>200</v>
      </c>
      <c r="H281" s="15">
        <v>59</v>
      </c>
      <c r="I281" s="27" t="s">
        <v>468</v>
      </c>
      <c r="J281" s="28">
        <v>2900</v>
      </c>
      <c r="K281" s="38" t="s">
        <v>24</v>
      </c>
      <c r="L281" s="39">
        <v>668</v>
      </c>
      <c r="M281" s="42">
        <f>1.91*0.66*0.72</f>
        <v>0.90763199999999988</v>
      </c>
      <c r="N281" s="73">
        <v>13684.881000000001</v>
      </c>
      <c r="O281" s="73">
        <v>15737.631000000001</v>
      </c>
      <c r="P281" s="223"/>
      <c r="Q281" s="223"/>
      <c r="R281" s="64"/>
      <c r="S281" s="64"/>
    </row>
    <row r="282" spans="3:19" ht="15.75" thickBot="1">
      <c r="C282" s="2"/>
      <c r="D282" s="72" t="s">
        <v>474</v>
      </c>
      <c r="E282" s="14">
        <v>55</v>
      </c>
      <c r="F282" s="15">
        <v>75</v>
      </c>
      <c r="G282" s="14">
        <v>200</v>
      </c>
      <c r="H282" s="15">
        <v>69</v>
      </c>
      <c r="I282" s="27" t="s">
        <v>468</v>
      </c>
      <c r="J282" s="28">
        <v>2900</v>
      </c>
      <c r="K282" s="38" t="s">
        <v>24</v>
      </c>
      <c r="L282" s="39">
        <v>668</v>
      </c>
      <c r="M282" s="42">
        <f>1.91*0.66*0.72</f>
        <v>0.90763199999999988</v>
      </c>
      <c r="N282" s="73">
        <v>13684.881000000001</v>
      </c>
      <c r="O282" s="73">
        <v>15737.631000000001</v>
      </c>
      <c r="P282" s="223"/>
      <c r="Q282" s="223"/>
      <c r="R282" s="64"/>
      <c r="S282" s="64"/>
    </row>
    <row r="283" spans="3:19" ht="15.75" thickBot="1">
      <c r="C283" s="2"/>
      <c r="D283" s="72" t="s">
        <v>475</v>
      </c>
      <c r="E283" s="14">
        <v>75</v>
      </c>
      <c r="F283" s="15">
        <v>100</v>
      </c>
      <c r="G283" s="14">
        <v>200</v>
      </c>
      <c r="H283" s="15">
        <v>75</v>
      </c>
      <c r="I283" s="27" t="s">
        <v>468</v>
      </c>
      <c r="J283" s="28">
        <v>2900</v>
      </c>
      <c r="K283" s="38" t="s">
        <v>26</v>
      </c>
      <c r="L283" s="39">
        <v>839</v>
      </c>
      <c r="M283" s="42">
        <f>2.19*0.72*0.72</f>
        <v>1.1352959999999999</v>
      </c>
      <c r="N283" s="73">
        <v>16764.006000000001</v>
      </c>
      <c r="O283" s="73">
        <v>18816.756000000001</v>
      </c>
      <c r="P283" s="223"/>
      <c r="Q283" s="223"/>
      <c r="R283" s="64"/>
      <c r="S283" s="64"/>
    </row>
    <row r="284" spans="3:19" ht="15.75" thickBot="1">
      <c r="C284" s="2"/>
      <c r="D284" s="72" t="s">
        <v>476</v>
      </c>
      <c r="E284" s="14">
        <v>75</v>
      </c>
      <c r="F284" s="15">
        <v>100</v>
      </c>
      <c r="G284" s="14">
        <v>200</v>
      </c>
      <c r="H284" s="15">
        <v>79</v>
      </c>
      <c r="I284" s="27" t="s">
        <v>468</v>
      </c>
      <c r="J284" s="28">
        <v>2900</v>
      </c>
      <c r="K284" s="38" t="s">
        <v>26</v>
      </c>
      <c r="L284" s="39">
        <v>839</v>
      </c>
      <c r="M284" s="42">
        <f>2.19*0.72*0.72</f>
        <v>1.1352959999999999</v>
      </c>
      <c r="N284" s="73">
        <v>16764.006000000001</v>
      </c>
      <c r="O284" s="73">
        <v>18816.756000000001</v>
      </c>
      <c r="P284" s="223"/>
      <c r="Q284" s="223"/>
      <c r="R284" s="64"/>
      <c r="S284" s="64"/>
    </row>
    <row r="285" spans="3:19" ht="15.75" thickBot="1">
      <c r="C285" s="2"/>
      <c r="D285" s="72" t="s">
        <v>477</v>
      </c>
      <c r="E285" s="14">
        <v>75</v>
      </c>
      <c r="F285" s="15">
        <v>100</v>
      </c>
      <c r="G285" s="14">
        <v>200</v>
      </c>
      <c r="H285" s="15">
        <v>84</v>
      </c>
      <c r="I285" s="27" t="s">
        <v>468</v>
      </c>
      <c r="J285" s="28">
        <v>2900</v>
      </c>
      <c r="K285" s="38" t="s">
        <v>26</v>
      </c>
      <c r="L285" s="39">
        <v>839</v>
      </c>
      <c r="M285" s="42">
        <f>2.19*0.72*0.72</f>
        <v>1.1352959999999999</v>
      </c>
      <c r="N285" s="73">
        <v>16764.006000000001</v>
      </c>
      <c r="O285" s="73">
        <v>18816.756000000001</v>
      </c>
      <c r="P285" s="223"/>
      <c r="Q285" s="223"/>
      <c r="R285" s="64"/>
      <c r="S285" s="64"/>
    </row>
    <row r="286" spans="3:19" ht="15.75" thickBot="1">
      <c r="C286" s="2"/>
      <c r="D286" s="72" t="s">
        <v>478</v>
      </c>
      <c r="E286" s="14">
        <v>75</v>
      </c>
      <c r="F286" s="15">
        <v>100</v>
      </c>
      <c r="G286" s="14">
        <v>200</v>
      </c>
      <c r="H286" s="15">
        <v>89</v>
      </c>
      <c r="I286" s="27" t="s">
        <v>468</v>
      </c>
      <c r="J286" s="28">
        <v>2900</v>
      </c>
      <c r="K286" s="38" t="s">
        <v>26</v>
      </c>
      <c r="L286" s="39">
        <v>839</v>
      </c>
      <c r="M286" s="42">
        <f>2.19*0.72*0.72</f>
        <v>1.1352959999999999</v>
      </c>
      <c r="N286" s="73">
        <v>16764.006000000001</v>
      </c>
      <c r="O286" s="73">
        <v>18816.756000000001</v>
      </c>
      <c r="P286" s="223"/>
      <c r="Q286" s="223"/>
      <c r="R286" s="64"/>
      <c r="S286" s="64"/>
    </row>
    <row r="287" spans="3:19" ht="15.75" thickBot="1">
      <c r="C287" s="2"/>
      <c r="D287" s="72" t="s">
        <v>479</v>
      </c>
      <c r="E287" s="14">
        <v>75</v>
      </c>
      <c r="F287" s="15">
        <v>100</v>
      </c>
      <c r="G287" s="14">
        <v>200</v>
      </c>
      <c r="H287" s="15">
        <v>93</v>
      </c>
      <c r="I287" s="27" t="s">
        <v>468</v>
      </c>
      <c r="J287" s="28">
        <v>2900</v>
      </c>
      <c r="K287" s="38" t="s">
        <v>26</v>
      </c>
      <c r="L287" s="39">
        <v>839</v>
      </c>
      <c r="M287" s="42">
        <f>2.19*0.72*0.72</f>
        <v>1.1352959999999999</v>
      </c>
      <c r="N287" s="73">
        <v>16764.006000000001</v>
      </c>
      <c r="O287" s="73">
        <v>18816.756000000001</v>
      </c>
      <c r="P287" s="223"/>
      <c r="Q287" s="223"/>
      <c r="R287" s="64"/>
      <c r="S287" s="64"/>
    </row>
    <row r="288" spans="3:19" ht="15.75" thickBot="1">
      <c r="C288" s="2"/>
      <c r="D288" s="72" t="s">
        <v>480</v>
      </c>
      <c r="E288" s="14">
        <v>90</v>
      </c>
      <c r="F288" s="15">
        <v>125</v>
      </c>
      <c r="G288" s="14">
        <v>200</v>
      </c>
      <c r="H288" s="15">
        <v>103</v>
      </c>
      <c r="I288" s="27" t="s">
        <v>468</v>
      </c>
      <c r="J288" s="28">
        <v>2900</v>
      </c>
      <c r="K288" s="38" t="s">
        <v>26</v>
      </c>
      <c r="L288" s="39">
        <v>910</v>
      </c>
      <c r="M288" s="42">
        <f>2.24*0.72*0.72</f>
        <v>1.161216</v>
      </c>
      <c r="N288" s="73">
        <v>18816.756000000001</v>
      </c>
      <c r="O288" s="73">
        <v>20869.506000000001</v>
      </c>
      <c r="P288" s="223"/>
      <c r="Q288" s="223"/>
      <c r="R288" s="64"/>
      <c r="S288" s="64"/>
    </row>
    <row r="289" spans="3:19" ht="15.75" thickBot="1">
      <c r="C289" s="2"/>
      <c r="D289" s="72" t="s">
        <v>481</v>
      </c>
      <c r="E289" s="14">
        <v>90</v>
      </c>
      <c r="F289" s="15">
        <v>125</v>
      </c>
      <c r="G289" s="14">
        <v>200</v>
      </c>
      <c r="H289" s="15">
        <v>110</v>
      </c>
      <c r="I289" s="27" t="s">
        <v>468</v>
      </c>
      <c r="J289" s="28">
        <v>2900</v>
      </c>
      <c r="K289" s="38" t="s">
        <v>28</v>
      </c>
      <c r="L289" s="39">
        <v>931</v>
      </c>
      <c r="M289" s="42">
        <f>2.43*0.72*0.72</f>
        <v>1.2597119999999999</v>
      </c>
      <c r="N289" s="73">
        <v>20527.5</v>
      </c>
      <c r="O289" s="73">
        <v>22580.25</v>
      </c>
      <c r="P289" s="223"/>
      <c r="Q289" s="223"/>
      <c r="R289" s="64"/>
      <c r="S289" s="64"/>
    </row>
    <row r="290" spans="3:19" ht="15.75" thickBot="1">
      <c r="C290" s="2"/>
      <c r="D290" s="72" t="s">
        <v>482</v>
      </c>
      <c r="E290" s="14">
        <v>110</v>
      </c>
      <c r="F290" s="15">
        <v>150</v>
      </c>
      <c r="G290" s="14">
        <v>200</v>
      </c>
      <c r="H290" s="15">
        <v>118</v>
      </c>
      <c r="I290" s="27" t="s">
        <v>468</v>
      </c>
      <c r="J290" s="28">
        <v>2900</v>
      </c>
      <c r="K290" s="38" t="s">
        <v>28</v>
      </c>
      <c r="L290" s="39">
        <v>1317</v>
      </c>
      <c r="M290" s="42">
        <f>2.68*0.89*0.72</f>
        <v>1.717344</v>
      </c>
      <c r="N290" s="73">
        <v>28054.131000000001</v>
      </c>
      <c r="O290" s="73">
        <v>30106.880999999998</v>
      </c>
      <c r="P290" s="223"/>
      <c r="Q290" s="223"/>
      <c r="R290" s="64"/>
      <c r="S290" s="64"/>
    </row>
    <row r="291" spans="3:19" ht="15.75" thickBot="1">
      <c r="C291" s="2"/>
      <c r="D291" s="72" t="s">
        <v>483</v>
      </c>
      <c r="E291" s="14">
        <v>110</v>
      </c>
      <c r="F291" s="15">
        <v>150</v>
      </c>
      <c r="G291" s="14">
        <v>200</v>
      </c>
      <c r="H291" s="15">
        <v>128</v>
      </c>
      <c r="I291" s="27" t="s">
        <v>468</v>
      </c>
      <c r="J291" s="28">
        <v>2900</v>
      </c>
      <c r="K291" s="38" t="s">
        <v>28</v>
      </c>
      <c r="L291" s="39">
        <v>1317</v>
      </c>
      <c r="M291" s="42">
        <f>2.68*0.89*0.72</f>
        <v>1.717344</v>
      </c>
      <c r="N291" s="73">
        <v>28054.131000000001</v>
      </c>
      <c r="O291" s="73">
        <v>30106.880999999998</v>
      </c>
      <c r="P291" s="223"/>
      <c r="Q291" s="223"/>
      <c r="R291" s="64"/>
      <c r="S291" s="64"/>
    </row>
    <row r="292" spans="3:19" ht="15.75" thickBot="1">
      <c r="C292" s="2"/>
      <c r="D292" s="72" t="s">
        <v>484</v>
      </c>
      <c r="E292" s="14">
        <v>110</v>
      </c>
      <c r="F292" s="15">
        <v>150</v>
      </c>
      <c r="G292" s="14">
        <v>200</v>
      </c>
      <c r="H292" s="15">
        <v>138</v>
      </c>
      <c r="I292" s="27" t="s">
        <v>468</v>
      </c>
      <c r="J292" s="28">
        <v>2900</v>
      </c>
      <c r="K292" s="38" t="s">
        <v>28</v>
      </c>
      <c r="L292" s="39">
        <v>1317</v>
      </c>
      <c r="M292" s="42">
        <f>2.68*0.89*0.72</f>
        <v>1.717344</v>
      </c>
      <c r="N292" s="73">
        <v>28054.131000000001</v>
      </c>
      <c r="O292" s="73">
        <v>30106.880999999998</v>
      </c>
      <c r="P292" s="223"/>
      <c r="Q292" s="223"/>
      <c r="R292" s="64"/>
      <c r="S292" s="64"/>
    </row>
    <row r="293" spans="3:19" ht="22.5">
      <c r="C293" s="7"/>
      <c r="D293" s="8"/>
      <c r="E293" s="8"/>
      <c r="F293" s="8"/>
      <c r="G293" s="8"/>
      <c r="H293" s="8"/>
      <c r="I293" s="8"/>
      <c r="J293" s="1"/>
      <c r="K293" s="8"/>
      <c r="L293" s="1"/>
      <c r="M293" s="1"/>
      <c r="N293" s="8"/>
      <c r="O293" s="8"/>
    </row>
    <row r="294" spans="3:19" ht="15">
      <c r="D294" s="74"/>
      <c r="E294" s="75"/>
      <c r="F294" s="75"/>
      <c r="G294" s="76"/>
      <c r="H294" s="76"/>
      <c r="I294" s="76"/>
      <c r="J294" s="76"/>
      <c r="K294" s="76"/>
      <c r="L294" s="76"/>
      <c r="M294" s="76"/>
      <c r="N294" s="76"/>
      <c r="O294" s="76"/>
    </row>
    <row r="295" spans="3:19" ht="15">
      <c r="D295" s="74"/>
      <c r="E295" s="75"/>
      <c r="F295" s="75"/>
      <c r="G295" s="76"/>
      <c r="H295" s="76"/>
      <c r="I295" s="76"/>
      <c r="J295" s="76"/>
      <c r="K295" s="76"/>
      <c r="L295" s="76"/>
      <c r="M295" s="76"/>
      <c r="N295" s="76"/>
      <c r="O295" s="76"/>
    </row>
    <row r="296" spans="3:19" ht="15">
      <c r="D296" s="74"/>
      <c r="E296" s="75"/>
      <c r="F296" s="75"/>
      <c r="G296" s="76"/>
      <c r="H296" s="76"/>
      <c r="I296" s="76"/>
      <c r="J296" s="76"/>
      <c r="K296" s="76"/>
      <c r="L296" s="76"/>
      <c r="M296" s="76"/>
      <c r="N296" s="76"/>
      <c r="O296" s="76"/>
    </row>
    <row r="297" spans="3:19" ht="15">
      <c r="D297" s="74"/>
      <c r="E297" s="75"/>
      <c r="F297" s="75"/>
      <c r="G297" s="76"/>
      <c r="H297" s="76"/>
      <c r="I297" s="76"/>
      <c r="J297" s="76"/>
      <c r="K297" s="76"/>
      <c r="L297" s="76"/>
      <c r="M297" s="76"/>
      <c r="N297" s="76"/>
      <c r="O297" s="76"/>
    </row>
  </sheetData>
  <mergeCells count="5">
    <mergeCell ref="N10:O10"/>
    <mergeCell ref="N11:O11"/>
    <mergeCell ref="D10:D11"/>
    <mergeCell ref="E10:F11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tabColor theme="4" tint="0.59999389629810485"/>
  </sheetPr>
  <dimension ref="B2:M39"/>
  <sheetViews>
    <sheetView topLeftCell="A4" workbookViewId="0">
      <selection activeCell="N27" sqref="N27"/>
    </sheetView>
  </sheetViews>
  <sheetFormatPr defaultRowHeight="14.25"/>
  <cols>
    <col min="1" max="1" width="27" customWidth="1"/>
    <col min="2" max="2" width="18" customWidth="1"/>
    <col min="9" max="9" width="12.625" customWidth="1"/>
    <col min="12" max="12" width="17.375" customWidth="1"/>
    <col min="13" max="13" width="14.5" customWidth="1"/>
  </cols>
  <sheetData>
    <row r="2" spans="2:13" ht="27.75" thickBot="1">
      <c r="B2" s="5" t="s">
        <v>485</v>
      </c>
      <c r="C2" s="6"/>
      <c r="D2" s="6"/>
      <c r="E2" s="6"/>
      <c r="F2" s="6"/>
      <c r="G2" s="6"/>
      <c r="H2" s="17"/>
      <c r="I2" s="6"/>
      <c r="J2" s="29"/>
      <c r="K2" s="29"/>
      <c r="L2" s="6"/>
      <c r="M2" s="6"/>
    </row>
    <row r="3" spans="2:13" ht="15">
      <c r="B3" s="44" t="s">
        <v>190</v>
      </c>
      <c r="C3" s="45" t="s">
        <v>527</v>
      </c>
      <c r="D3" s="46"/>
      <c r="E3" s="51"/>
      <c r="F3" s="51"/>
      <c r="G3" s="51"/>
      <c r="H3" s="51"/>
      <c r="I3" s="51"/>
      <c r="J3" s="51"/>
      <c r="K3" s="51"/>
      <c r="L3" s="51"/>
      <c r="M3" s="51"/>
    </row>
    <row r="4" spans="2:13" ht="15">
      <c r="B4" s="47" t="s">
        <v>192</v>
      </c>
      <c r="C4" s="48" t="s">
        <v>191</v>
      </c>
      <c r="D4" s="49"/>
      <c r="E4" s="52"/>
      <c r="F4" s="52"/>
      <c r="G4" s="52"/>
      <c r="H4" s="52"/>
      <c r="I4" s="52"/>
      <c r="J4" s="52"/>
      <c r="K4" s="52"/>
      <c r="L4" s="52"/>
      <c r="M4" s="52"/>
    </row>
    <row r="5" spans="2:13" ht="15">
      <c r="B5" s="47" t="s">
        <v>193</v>
      </c>
      <c r="C5" s="48" t="s">
        <v>528</v>
      </c>
      <c r="D5" s="49"/>
      <c r="E5" s="52"/>
      <c r="F5" s="52"/>
      <c r="G5" s="52"/>
      <c r="H5" s="52"/>
      <c r="I5" s="52"/>
      <c r="J5" s="52"/>
      <c r="K5" s="52"/>
      <c r="L5" s="52"/>
      <c r="M5" s="52"/>
    </row>
    <row r="6" spans="2:13" ht="15">
      <c r="B6" s="47" t="s">
        <v>194</v>
      </c>
      <c r="C6" s="48" t="s">
        <v>195</v>
      </c>
      <c r="D6" s="49"/>
      <c r="E6" s="52"/>
      <c r="F6" s="52"/>
      <c r="G6" s="52"/>
      <c r="H6" s="52"/>
      <c r="I6" s="52"/>
      <c r="J6" s="52"/>
      <c r="K6" s="52"/>
      <c r="L6" s="52"/>
      <c r="M6" s="52"/>
    </row>
    <row r="7" spans="2:13" ht="15.75" thickBot="1">
      <c r="B7" s="60" t="s">
        <v>529</v>
      </c>
      <c r="C7" s="56" t="s">
        <v>530</v>
      </c>
      <c r="D7" s="57"/>
      <c r="E7" s="58"/>
      <c r="F7" s="58"/>
      <c r="G7" s="58"/>
      <c r="H7" s="58"/>
      <c r="I7" s="58"/>
      <c r="J7" s="58"/>
      <c r="K7" s="58"/>
      <c r="L7" s="58"/>
      <c r="M7" s="58"/>
    </row>
    <row r="8" spans="2:13" ht="14.25" customHeight="1" thickBot="1">
      <c r="B8" s="253" t="s">
        <v>0</v>
      </c>
      <c r="C8" s="255" t="s">
        <v>1</v>
      </c>
      <c r="D8" s="253"/>
      <c r="E8" s="257" t="s">
        <v>2</v>
      </c>
      <c r="F8" s="266"/>
      <c r="G8" s="18" t="s">
        <v>3</v>
      </c>
      <c r="H8" s="19" t="s">
        <v>4</v>
      </c>
      <c r="I8" s="30" t="s">
        <v>5</v>
      </c>
      <c r="J8" s="31" t="s">
        <v>6</v>
      </c>
      <c r="K8" s="31" t="s">
        <v>7</v>
      </c>
      <c r="L8" s="262" t="s">
        <v>8</v>
      </c>
      <c r="M8" s="262"/>
    </row>
    <row r="9" spans="2:13" ht="15.75" thickBot="1">
      <c r="B9" s="254"/>
      <c r="C9" s="256"/>
      <c r="D9" s="254"/>
      <c r="E9" s="20" t="s">
        <v>9</v>
      </c>
      <c r="F9" s="10" t="s">
        <v>10</v>
      </c>
      <c r="G9" s="21"/>
      <c r="H9" s="22"/>
      <c r="I9" s="32"/>
      <c r="J9" s="33"/>
      <c r="K9" s="33"/>
      <c r="L9" s="263" t="s">
        <v>11</v>
      </c>
      <c r="M9" s="263"/>
    </row>
    <row r="10" spans="2:13" ht="15.75" thickBot="1">
      <c r="B10" s="11"/>
      <c r="C10" s="12" t="s">
        <v>12</v>
      </c>
      <c r="D10" s="11" t="s">
        <v>13</v>
      </c>
      <c r="E10" s="23" t="s">
        <v>14</v>
      </c>
      <c r="F10" s="24" t="s">
        <v>15</v>
      </c>
      <c r="G10" s="25" t="s">
        <v>16</v>
      </c>
      <c r="H10" s="26" t="s">
        <v>17</v>
      </c>
      <c r="I10" s="34"/>
      <c r="J10" s="35" t="s">
        <v>18</v>
      </c>
      <c r="K10" s="36" t="s">
        <v>19</v>
      </c>
      <c r="L10" s="67" t="s">
        <v>486</v>
      </c>
      <c r="M10" s="67" t="s">
        <v>487</v>
      </c>
    </row>
    <row r="11" spans="2:13" ht="15" thickBot="1">
      <c r="B11" s="13" t="s">
        <v>488</v>
      </c>
      <c r="C11" s="14">
        <v>1.1000000000000001</v>
      </c>
      <c r="D11" s="15">
        <v>1.5</v>
      </c>
      <c r="E11" s="14">
        <v>4</v>
      </c>
      <c r="F11" s="15">
        <v>44</v>
      </c>
      <c r="G11" s="27" t="s">
        <v>489</v>
      </c>
      <c r="H11" s="28">
        <v>2900</v>
      </c>
      <c r="I11" s="38" t="s">
        <v>490</v>
      </c>
      <c r="J11" s="39">
        <v>30</v>
      </c>
      <c r="K11" s="40">
        <f>0.74*0.26*0.24</f>
        <v>4.6176000000000002E-2</v>
      </c>
      <c r="L11" s="73">
        <v>505.512</v>
      </c>
      <c r="M11" s="73">
        <v>480.87899999999996</v>
      </c>
    </row>
    <row r="12" spans="2:13" ht="15" thickBot="1">
      <c r="B12" s="13" t="s">
        <v>491</v>
      </c>
      <c r="C12" s="14">
        <v>1.5</v>
      </c>
      <c r="D12" s="15">
        <v>2</v>
      </c>
      <c r="E12" s="14">
        <v>4</v>
      </c>
      <c r="F12" s="15">
        <v>56</v>
      </c>
      <c r="G12" s="27" t="s">
        <v>489</v>
      </c>
      <c r="H12" s="28">
        <v>2900</v>
      </c>
      <c r="I12" s="38" t="s">
        <v>492</v>
      </c>
      <c r="J12" s="39">
        <v>36</v>
      </c>
      <c r="K12" s="42">
        <f>0.81*0.26*0.24</f>
        <v>5.0543999999999999E-2</v>
      </c>
      <c r="L12" s="73">
        <v>562.98899999999992</v>
      </c>
      <c r="M12" s="73">
        <v>539.42700000000002</v>
      </c>
    </row>
    <row r="13" spans="2:13" ht="15" thickBot="1">
      <c r="B13" s="13" t="s">
        <v>493</v>
      </c>
      <c r="C13" s="14">
        <v>2.2000000000000002</v>
      </c>
      <c r="D13" s="15">
        <v>3</v>
      </c>
      <c r="E13" s="14">
        <v>4</v>
      </c>
      <c r="F13" s="15">
        <v>81</v>
      </c>
      <c r="G13" s="27" t="s">
        <v>489</v>
      </c>
      <c r="H13" s="28">
        <v>2900</v>
      </c>
      <c r="I13" s="38" t="s">
        <v>494</v>
      </c>
      <c r="J13" s="39">
        <v>41</v>
      </c>
      <c r="K13" s="42">
        <f>0.95*0.26*0.24</f>
        <v>5.9279999999999999E-2</v>
      </c>
      <c r="L13" s="73">
        <v>658.30799999999999</v>
      </c>
      <c r="M13" s="73">
        <v>613.32600000000014</v>
      </c>
    </row>
    <row r="14" spans="2:13" ht="15" thickBot="1">
      <c r="B14" s="13" t="s">
        <v>495</v>
      </c>
      <c r="C14" s="14">
        <v>3</v>
      </c>
      <c r="D14" s="15">
        <v>4</v>
      </c>
      <c r="E14" s="14">
        <v>4</v>
      </c>
      <c r="F14" s="15">
        <v>100</v>
      </c>
      <c r="G14" s="27" t="s">
        <v>489</v>
      </c>
      <c r="H14" s="28">
        <v>2900</v>
      </c>
      <c r="I14" s="38" t="s">
        <v>496</v>
      </c>
      <c r="J14" s="39">
        <v>52</v>
      </c>
      <c r="K14" s="42">
        <f>1.1*0.26*0.24</f>
        <v>6.8640000000000007E-2</v>
      </c>
      <c r="L14" s="73">
        <v>776.11799999999994</v>
      </c>
      <c r="M14" s="73">
        <v>763.98</v>
      </c>
    </row>
    <row r="15" spans="2:13" ht="15" thickBot="1">
      <c r="B15" s="13" t="s">
        <v>497</v>
      </c>
      <c r="C15" s="14">
        <v>1.1000000000000001</v>
      </c>
      <c r="D15" s="15">
        <v>1.5</v>
      </c>
      <c r="E15" s="14">
        <v>6</v>
      </c>
      <c r="F15" s="15">
        <v>26.1</v>
      </c>
      <c r="G15" s="27" t="s">
        <v>498</v>
      </c>
      <c r="H15" s="28">
        <v>2900</v>
      </c>
      <c r="I15" s="38" t="s">
        <v>499</v>
      </c>
      <c r="J15" s="39">
        <v>28</v>
      </c>
      <c r="K15" s="42">
        <f>0.67*0.26*0.24</f>
        <v>4.1808000000000005E-2</v>
      </c>
      <c r="L15" s="73">
        <v>476.952</v>
      </c>
      <c r="M15" s="73">
        <v>451.60500000000002</v>
      </c>
    </row>
    <row r="16" spans="2:13" ht="15" thickBot="1">
      <c r="B16" s="13" t="s">
        <v>500</v>
      </c>
      <c r="C16" s="14">
        <v>1.5</v>
      </c>
      <c r="D16" s="15">
        <v>2</v>
      </c>
      <c r="E16" s="14">
        <v>6</v>
      </c>
      <c r="F16" s="15">
        <v>41.8</v>
      </c>
      <c r="G16" s="27" t="s">
        <v>498</v>
      </c>
      <c r="H16" s="28">
        <v>2900</v>
      </c>
      <c r="I16" s="38" t="s">
        <v>501</v>
      </c>
      <c r="J16" s="39">
        <v>33</v>
      </c>
      <c r="K16" s="42">
        <f>0.78*0.26*0.24</f>
        <v>4.8672E-2</v>
      </c>
      <c r="L16" s="73">
        <v>547.995</v>
      </c>
      <c r="M16" s="73">
        <v>524.07600000000014</v>
      </c>
    </row>
    <row r="17" spans="2:13" ht="15" thickBot="1">
      <c r="B17" s="13" t="s">
        <v>502</v>
      </c>
      <c r="C17" s="14">
        <v>2.2000000000000002</v>
      </c>
      <c r="D17" s="15">
        <v>3</v>
      </c>
      <c r="E17" s="14">
        <v>6</v>
      </c>
      <c r="F17" s="15">
        <v>57.5</v>
      </c>
      <c r="G17" s="27" t="s">
        <v>498</v>
      </c>
      <c r="H17" s="28">
        <v>2900</v>
      </c>
      <c r="I17" s="38" t="s">
        <v>503</v>
      </c>
      <c r="J17" s="39">
        <v>39</v>
      </c>
      <c r="K17" s="42">
        <f>0.88*0.26*0.24</f>
        <v>5.4911999999999996E-2</v>
      </c>
      <c r="L17" s="73">
        <v>629.03399999999999</v>
      </c>
      <c r="M17" s="73">
        <v>584.76600000000008</v>
      </c>
    </row>
    <row r="18" spans="2:13" ht="15" thickBot="1">
      <c r="B18" s="13" t="s">
        <v>504</v>
      </c>
      <c r="C18" s="14">
        <v>3</v>
      </c>
      <c r="D18" s="15">
        <v>4</v>
      </c>
      <c r="E18" s="14">
        <v>6</v>
      </c>
      <c r="F18" s="15">
        <v>78.400000000000006</v>
      </c>
      <c r="G18" s="27" t="s">
        <v>498</v>
      </c>
      <c r="H18" s="28">
        <v>2900</v>
      </c>
      <c r="I18" s="38" t="s">
        <v>505</v>
      </c>
      <c r="J18" s="39">
        <v>50</v>
      </c>
      <c r="K18" s="42">
        <f>1.07*0.26*0.24</f>
        <v>6.6767999999999994E-2</v>
      </c>
      <c r="L18" s="73">
        <v>758.26800000000003</v>
      </c>
      <c r="M18" s="73">
        <v>746.84399999999994</v>
      </c>
    </row>
    <row r="19" spans="2:13" ht="15" thickBot="1">
      <c r="B19" s="13" t="s">
        <v>506</v>
      </c>
      <c r="C19" s="14">
        <v>1.1000000000000001</v>
      </c>
      <c r="D19" s="15">
        <v>1.5</v>
      </c>
      <c r="E19" s="14">
        <v>8</v>
      </c>
      <c r="F19" s="15">
        <v>22</v>
      </c>
      <c r="G19" s="27" t="s">
        <v>507</v>
      </c>
      <c r="H19" s="28">
        <v>2900</v>
      </c>
      <c r="I19" s="38" t="s">
        <v>508</v>
      </c>
      <c r="J19" s="39">
        <v>28</v>
      </c>
      <c r="K19" s="42">
        <f>0.64*0.26*0.24</f>
        <v>3.9936000000000006E-2</v>
      </c>
      <c r="L19" s="73">
        <v>463.74300000000005</v>
      </c>
      <c r="M19" s="73">
        <v>439.11</v>
      </c>
    </row>
    <row r="20" spans="2:13" ht="15" thickBot="1">
      <c r="B20" s="13" t="s">
        <v>509</v>
      </c>
      <c r="C20" s="14">
        <v>1.5</v>
      </c>
      <c r="D20" s="15">
        <v>2</v>
      </c>
      <c r="E20" s="14">
        <v>8</v>
      </c>
      <c r="F20" s="15">
        <v>39</v>
      </c>
      <c r="G20" s="27" t="s">
        <v>507</v>
      </c>
      <c r="H20" s="28">
        <v>2900</v>
      </c>
      <c r="I20" s="38" t="s">
        <v>490</v>
      </c>
      <c r="J20" s="39">
        <v>33</v>
      </c>
      <c r="K20" s="42">
        <f>0.74*0.26*0.24</f>
        <v>4.6176000000000002E-2</v>
      </c>
      <c r="L20" s="73">
        <v>532.28700000000003</v>
      </c>
      <c r="M20" s="73">
        <v>509.43899999999996</v>
      </c>
    </row>
    <row r="21" spans="2:13" ht="15" thickBot="1">
      <c r="B21" s="13" t="s">
        <v>510</v>
      </c>
      <c r="C21" s="14">
        <v>2.2000000000000002</v>
      </c>
      <c r="D21" s="15">
        <v>3</v>
      </c>
      <c r="E21" s="14">
        <v>8</v>
      </c>
      <c r="F21" s="15">
        <v>50</v>
      </c>
      <c r="G21" s="27" t="s">
        <v>507</v>
      </c>
      <c r="H21" s="28">
        <v>2900</v>
      </c>
      <c r="I21" s="38" t="s">
        <v>492</v>
      </c>
      <c r="J21" s="39">
        <v>39</v>
      </c>
      <c r="K21" s="42">
        <f>0.81*0.26*0.24</f>
        <v>5.0543999999999999E-2</v>
      </c>
      <c r="L21" s="73">
        <v>604.40100000000007</v>
      </c>
      <c r="M21" s="73">
        <v>559.77600000000007</v>
      </c>
    </row>
    <row r="22" spans="2:13" ht="15" thickBot="1">
      <c r="B22" s="13" t="s">
        <v>511</v>
      </c>
      <c r="C22" s="14">
        <v>3</v>
      </c>
      <c r="D22" s="15">
        <v>4</v>
      </c>
      <c r="E22" s="14">
        <v>8</v>
      </c>
      <c r="F22" s="15">
        <v>66</v>
      </c>
      <c r="G22" s="27" t="s">
        <v>507</v>
      </c>
      <c r="H22" s="28">
        <v>2900</v>
      </c>
      <c r="I22" s="38" t="s">
        <v>512</v>
      </c>
      <c r="J22" s="39">
        <v>49</v>
      </c>
      <c r="K22" s="42">
        <f>0.96*0.26*0.24</f>
        <v>5.9903999999999992E-2</v>
      </c>
      <c r="L22" s="73">
        <v>715.07100000000003</v>
      </c>
      <c r="M22" s="73">
        <v>704.00399999999991</v>
      </c>
    </row>
    <row r="23" spans="2:13" ht="15" thickBot="1">
      <c r="B23" s="13" t="s">
        <v>513</v>
      </c>
      <c r="C23" s="14">
        <v>4</v>
      </c>
      <c r="D23" s="15">
        <v>5.5</v>
      </c>
      <c r="E23" s="14">
        <v>8</v>
      </c>
      <c r="F23" s="15">
        <v>89</v>
      </c>
      <c r="G23" s="27" t="s">
        <v>507</v>
      </c>
      <c r="H23" s="28">
        <v>2900</v>
      </c>
      <c r="I23" s="38" t="s">
        <v>496</v>
      </c>
      <c r="J23" s="39">
        <v>55</v>
      </c>
      <c r="K23" s="42">
        <f>1.1*0.26*0.24</f>
        <v>6.8640000000000007E-2</v>
      </c>
      <c r="L23" s="73"/>
      <c r="M23" s="73">
        <v>798.60899999999992</v>
      </c>
    </row>
    <row r="24" spans="2:13" ht="15" thickBot="1">
      <c r="B24" s="13" t="s">
        <v>514</v>
      </c>
      <c r="C24" s="14">
        <v>1.1000000000000001</v>
      </c>
      <c r="D24" s="15">
        <v>1.5</v>
      </c>
      <c r="E24" s="14">
        <v>12</v>
      </c>
      <c r="F24" s="15">
        <v>16.2</v>
      </c>
      <c r="G24" s="27" t="s">
        <v>515</v>
      </c>
      <c r="H24" s="28">
        <v>2900</v>
      </c>
      <c r="I24" s="38" t="s">
        <v>516</v>
      </c>
      <c r="J24" s="39">
        <v>27</v>
      </c>
      <c r="K24" s="42">
        <f>0.6*0.26*0.24</f>
        <v>3.7440000000000001E-2</v>
      </c>
      <c r="L24" s="73">
        <v>453.74699999999996</v>
      </c>
      <c r="M24" s="73">
        <v>428.04300000000006</v>
      </c>
    </row>
    <row r="25" spans="2:13" ht="15" thickBot="1">
      <c r="B25" s="13" t="s">
        <v>517</v>
      </c>
      <c r="C25" s="14">
        <v>1.5</v>
      </c>
      <c r="D25" s="15">
        <v>2</v>
      </c>
      <c r="E25" s="14">
        <v>12</v>
      </c>
      <c r="F25" s="15">
        <v>27</v>
      </c>
      <c r="G25" s="27" t="s">
        <v>515</v>
      </c>
      <c r="H25" s="28">
        <v>2900</v>
      </c>
      <c r="I25" s="38" t="s">
        <v>499</v>
      </c>
      <c r="J25" s="39">
        <v>32</v>
      </c>
      <c r="K25" s="42">
        <f>0.67*0.26*0.24</f>
        <v>4.1808000000000005E-2</v>
      </c>
      <c r="L25" s="73">
        <v>503.37</v>
      </c>
      <c r="M25" s="73">
        <v>479.80800000000005</v>
      </c>
    </row>
    <row r="26" spans="2:13" ht="15" thickBot="1">
      <c r="B26" s="13" t="s">
        <v>518</v>
      </c>
      <c r="C26" s="14">
        <v>2.2000000000000002</v>
      </c>
      <c r="D26" s="15">
        <v>3</v>
      </c>
      <c r="E26" s="14">
        <v>12</v>
      </c>
      <c r="F26" s="15">
        <v>37.799999999999997</v>
      </c>
      <c r="G26" s="27" t="s">
        <v>515</v>
      </c>
      <c r="H26" s="28">
        <v>2900</v>
      </c>
      <c r="I26" s="38" t="s">
        <v>490</v>
      </c>
      <c r="J26" s="39">
        <v>37</v>
      </c>
      <c r="K26" s="42">
        <f>0.74*0.26*0.24</f>
        <v>4.6176000000000002E-2</v>
      </c>
      <c r="L26" s="73">
        <v>574.05600000000004</v>
      </c>
      <c r="M26" s="73">
        <v>529.78800000000001</v>
      </c>
    </row>
    <row r="27" spans="2:13" ht="15" thickBot="1">
      <c r="B27" s="13" t="s">
        <v>519</v>
      </c>
      <c r="C27" s="14">
        <v>3</v>
      </c>
      <c r="D27" s="15">
        <v>4</v>
      </c>
      <c r="E27" s="14">
        <v>12</v>
      </c>
      <c r="F27" s="15">
        <v>48.6</v>
      </c>
      <c r="G27" s="27" t="s">
        <v>515</v>
      </c>
      <c r="H27" s="28">
        <v>2900</v>
      </c>
      <c r="I27" s="38" t="s">
        <v>492</v>
      </c>
      <c r="J27" s="39">
        <v>48</v>
      </c>
      <c r="K27" s="42">
        <f>0.86*0.26*0.24</f>
        <v>5.3663999999999996E-2</v>
      </c>
      <c r="L27" s="73">
        <v>676.15800000000002</v>
      </c>
      <c r="M27" s="73">
        <v>664.37700000000007</v>
      </c>
    </row>
    <row r="28" spans="2:13" ht="15" thickBot="1">
      <c r="B28" s="13" t="s">
        <v>520</v>
      </c>
      <c r="C28" s="14">
        <v>4</v>
      </c>
      <c r="D28" s="15">
        <v>5.5</v>
      </c>
      <c r="E28" s="14">
        <v>12</v>
      </c>
      <c r="F28" s="15">
        <v>64.8</v>
      </c>
      <c r="G28" s="27" t="s">
        <v>515</v>
      </c>
      <c r="H28" s="28">
        <v>2900</v>
      </c>
      <c r="I28" s="38" t="s">
        <v>512</v>
      </c>
      <c r="J28" s="39">
        <v>54</v>
      </c>
      <c r="K28" s="42">
        <f>0.96*0.26*0.24</f>
        <v>5.9903999999999992E-2</v>
      </c>
      <c r="L28" s="73"/>
      <c r="M28" s="73">
        <v>737.56200000000001</v>
      </c>
    </row>
    <row r="29" spans="2:13" ht="15" thickBot="1">
      <c r="B29" s="13" t="s">
        <v>521</v>
      </c>
      <c r="C29" s="14">
        <v>5.5</v>
      </c>
      <c r="D29" s="15">
        <v>7.5</v>
      </c>
      <c r="E29" s="14">
        <v>12</v>
      </c>
      <c r="F29" s="15">
        <v>91.8</v>
      </c>
      <c r="G29" s="27" t="s">
        <v>515</v>
      </c>
      <c r="H29" s="28">
        <v>2900</v>
      </c>
      <c r="I29" s="38" t="s">
        <v>522</v>
      </c>
      <c r="J29" s="39">
        <v>65</v>
      </c>
      <c r="K29" s="42">
        <f>1.19*0.26*0.24</f>
        <v>7.4256000000000003E-2</v>
      </c>
      <c r="L29" s="73"/>
      <c r="M29" s="73">
        <v>890.71500000000003</v>
      </c>
    </row>
    <row r="30" spans="2:13" ht="15" thickBot="1">
      <c r="B30" s="13" t="s">
        <v>523</v>
      </c>
      <c r="C30" s="14">
        <v>7.5</v>
      </c>
      <c r="D30" s="15">
        <v>10</v>
      </c>
      <c r="E30" s="14">
        <v>30</v>
      </c>
      <c r="F30" s="15">
        <v>64</v>
      </c>
      <c r="G30" s="27" t="s">
        <v>524</v>
      </c>
      <c r="H30" s="28">
        <v>2900</v>
      </c>
      <c r="I30" s="38" t="s">
        <v>490</v>
      </c>
      <c r="J30" s="39">
        <v>95</v>
      </c>
      <c r="K30" s="42">
        <f>1.07*0.32*0.38</f>
        <v>0.13011200000000001</v>
      </c>
      <c r="L30" s="73"/>
      <c r="M30" s="73">
        <v>1361.9549999999999</v>
      </c>
    </row>
    <row r="31" spans="2:13" ht="15" thickBot="1">
      <c r="B31" s="13" t="s">
        <v>525</v>
      </c>
      <c r="C31" s="14">
        <v>9.1999999999999993</v>
      </c>
      <c r="D31" s="15">
        <v>12.5</v>
      </c>
      <c r="E31" s="14">
        <v>30</v>
      </c>
      <c r="F31" s="15">
        <v>82</v>
      </c>
      <c r="G31" s="27" t="s">
        <v>524</v>
      </c>
      <c r="H31" s="28">
        <v>2900</v>
      </c>
      <c r="I31" s="38" t="s">
        <v>492</v>
      </c>
      <c r="J31" s="39">
        <v>102</v>
      </c>
      <c r="K31" s="42">
        <f>1.17*0.32*0.38</f>
        <v>0.14227200000000001</v>
      </c>
      <c r="L31" s="73"/>
      <c r="M31" s="73">
        <v>1451.5620000000001</v>
      </c>
    </row>
    <row r="32" spans="2:13" ht="15" thickBot="1">
      <c r="B32" s="13" t="s">
        <v>526</v>
      </c>
      <c r="C32" s="14">
        <v>11</v>
      </c>
      <c r="D32" s="15">
        <v>15</v>
      </c>
      <c r="E32" s="14">
        <v>30</v>
      </c>
      <c r="F32" s="15">
        <v>99</v>
      </c>
      <c r="G32" s="27" t="s">
        <v>524</v>
      </c>
      <c r="H32" s="28">
        <v>2900</v>
      </c>
      <c r="I32" s="38" t="s">
        <v>503</v>
      </c>
      <c r="J32" s="39">
        <v>111</v>
      </c>
      <c r="K32" s="42">
        <f>1.28*0.32*0.38</f>
        <v>0.15564800000000001</v>
      </c>
      <c r="L32" s="73"/>
      <c r="M32" s="73">
        <v>1580.0820000000001</v>
      </c>
    </row>
    <row r="33" spans="2:13" ht="22.5">
      <c r="B33" s="8"/>
      <c r="C33" s="8"/>
      <c r="D33" s="8"/>
      <c r="E33" s="8"/>
      <c r="F33" s="8"/>
      <c r="G33" s="8"/>
      <c r="H33" s="1"/>
      <c r="I33" s="8"/>
      <c r="J33" s="1"/>
      <c r="K33" s="1"/>
      <c r="L33" s="8"/>
      <c r="M33" s="8"/>
    </row>
    <row r="34" spans="2:13" ht="15">
      <c r="B34" s="74"/>
      <c r="C34" s="75"/>
      <c r="D34" s="75"/>
      <c r="E34" s="76"/>
      <c r="F34" s="76"/>
      <c r="G34" s="76"/>
      <c r="H34" s="76"/>
      <c r="I34" s="76"/>
      <c r="J34" s="76"/>
      <c r="K34" s="76"/>
      <c r="L34" s="76"/>
      <c r="M34" s="76"/>
    </row>
    <row r="35" spans="2:13" ht="15">
      <c r="B35" s="74"/>
      <c r="C35" s="75"/>
      <c r="D35" s="75"/>
      <c r="E35" s="76"/>
      <c r="F35" s="76"/>
      <c r="G35" s="76"/>
      <c r="H35" s="76"/>
      <c r="I35" s="76"/>
      <c r="J35" s="76"/>
      <c r="K35" s="76"/>
      <c r="L35" s="76"/>
      <c r="M35" s="76"/>
    </row>
    <row r="36" spans="2:13" ht="15">
      <c r="B36" s="74"/>
      <c r="C36" s="75"/>
      <c r="D36" s="75"/>
      <c r="E36" s="76"/>
      <c r="F36" s="76"/>
      <c r="G36" s="76"/>
      <c r="H36" s="76"/>
      <c r="I36" s="76"/>
      <c r="J36" s="76"/>
      <c r="K36" s="76"/>
      <c r="L36" s="76"/>
      <c r="M36" s="76"/>
    </row>
    <row r="37" spans="2:13" ht="15">
      <c r="B37" s="74"/>
      <c r="C37" s="75"/>
      <c r="D37" s="75"/>
      <c r="E37" s="76"/>
      <c r="F37" s="76"/>
      <c r="G37" s="76"/>
      <c r="H37" s="76"/>
      <c r="I37" s="76"/>
      <c r="J37" s="76"/>
      <c r="K37" s="76"/>
      <c r="L37" s="76"/>
      <c r="M37" s="76"/>
    </row>
    <row r="38" spans="2:13" ht="15">
      <c r="B38" s="74"/>
      <c r="C38" s="75"/>
      <c r="D38" s="75"/>
      <c r="E38" s="76"/>
      <c r="F38" s="76"/>
      <c r="G38" s="76"/>
      <c r="H38" s="76"/>
      <c r="I38" s="76"/>
      <c r="J38" s="76"/>
      <c r="K38" s="76"/>
      <c r="L38" s="76"/>
      <c r="M38" s="76"/>
    </row>
    <row r="39" spans="2:13"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</row>
  </sheetData>
  <mergeCells count="5">
    <mergeCell ref="B8:B9"/>
    <mergeCell ref="C8:D9"/>
    <mergeCell ref="E8:F8"/>
    <mergeCell ref="L8:M8"/>
    <mergeCell ref="L9:M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R122"/>
  <sheetViews>
    <sheetView workbookViewId="0">
      <selection activeCell="A4" sqref="A4"/>
    </sheetView>
  </sheetViews>
  <sheetFormatPr defaultRowHeight="14.25"/>
  <cols>
    <col min="1" max="1" width="30.25" customWidth="1"/>
    <col min="2" max="2" width="18.125" customWidth="1"/>
    <col min="8" max="8" width="14.375" customWidth="1"/>
    <col min="13" max="13" width="14" customWidth="1"/>
    <col min="14" max="14" width="13.125" customWidth="1"/>
    <col min="15" max="16" width="10.75" bestFit="1" customWidth="1"/>
  </cols>
  <sheetData>
    <row r="1" spans="1:18" ht="36.75">
      <c r="A1" s="121"/>
      <c r="B1" s="122"/>
      <c r="C1" s="123"/>
      <c r="D1" s="124"/>
      <c r="E1" s="125"/>
      <c r="F1" s="126"/>
      <c r="G1" s="126"/>
      <c r="H1" s="126"/>
      <c r="I1" s="126"/>
      <c r="J1" s="126"/>
      <c r="K1" s="126"/>
      <c r="L1" s="126"/>
      <c r="M1" s="126"/>
      <c r="N1" s="127" t="s">
        <v>1820</v>
      </c>
    </row>
    <row r="2" spans="1:18" ht="20.25">
      <c r="A2" s="121"/>
      <c r="B2" s="122"/>
      <c r="C2" s="123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9"/>
    </row>
    <row r="3" spans="1:18" ht="20.25">
      <c r="A3" s="121"/>
      <c r="B3" s="122"/>
      <c r="C3" s="123"/>
      <c r="D3" s="128"/>
      <c r="E3" s="128"/>
      <c r="F3" s="130"/>
      <c r="G3" s="130"/>
      <c r="H3" s="130"/>
      <c r="I3" s="130"/>
      <c r="J3" s="130"/>
      <c r="K3" s="130"/>
      <c r="L3" s="130"/>
      <c r="M3" s="130"/>
      <c r="N3" s="131"/>
    </row>
    <row r="4" spans="1:18" ht="20.25">
      <c r="A4" s="121"/>
      <c r="B4" s="122"/>
      <c r="C4" s="123"/>
      <c r="D4" s="128"/>
      <c r="E4" s="128"/>
      <c r="F4" s="130"/>
      <c r="G4" s="130"/>
      <c r="H4" s="130"/>
      <c r="I4" s="130"/>
      <c r="J4" s="130"/>
      <c r="K4" s="130"/>
      <c r="L4" s="130"/>
      <c r="M4" s="130"/>
      <c r="N4" s="131"/>
    </row>
    <row r="5" spans="1:18" ht="18">
      <c r="A5" s="117"/>
      <c r="B5" s="132"/>
      <c r="C5" s="132"/>
      <c r="D5" s="132"/>
      <c r="E5" s="132"/>
      <c r="F5" s="132"/>
      <c r="G5" s="132"/>
      <c r="H5" s="132"/>
      <c r="I5" s="132"/>
      <c r="J5" s="132"/>
      <c r="K5" s="144"/>
      <c r="L5" s="144"/>
      <c r="M5" s="132"/>
      <c r="N5" s="132"/>
    </row>
    <row r="6" spans="1:18" ht="27">
      <c r="A6" s="4"/>
      <c r="B6" s="61" t="s">
        <v>2924</v>
      </c>
      <c r="C6" s="62"/>
      <c r="D6" s="62"/>
      <c r="E6" s="62"/>
      <c r="F6" s="62"/>
      <c r="G6" s="62"/>
      <c r="H6" s="62"/>
      <c r="I6" s="17"/>
      <c r="J6" s="62"/>
      <c r="K6" s="29"/>
      <c r="L6" s="29"/>
      <c r="M6" s="62"/>
      <c r="N6" s="62"/>
    </row>
    <row r="7" spans="1:18" ht="23.25" thickBot="1">
      <c r="A7" s="7"/>
      <c r="B7" s="63"/>
      <c r="C7" s="63"/>
      <c r="D7" s="63"/>
      <c r="E7" s="63"/>
      <c r="F7" s="63"/>
      <c r="G7" s="63"/>
      <c r="H7" s="63"/>
      <c r="I7" s="1"/>
      <c r="J7" s="63"/>
      <c r="K7" s="1"/>
      <c r="L7" s="1"/>
      <c r="M7" s="63"/>
      <c r="N7" s="63"/>
    </row>
    <row r="8" spans="1:18" ht="27.4" customHeight="1">
      <c r="A8" s="3"/>
      <c r="B8" s="253" t="s">
        <v>2680</v>
      </c>
      <c r="C8" s="255" t="s">
        <v>2667</v>
      </c>
      <c r="D8" s="253"/>
      <c r="E8" s="257" t="s">
        <v>2730</v>
      </c>
      <c r="F8" s="258"/>
      <c r="G8" s="258"/>
      <c r="H8" s="18" t="s">
        <v>2738</v>
      </c>
      <c r="I8" s="19" t="s">
        <v>4</v>
      </c>
      <c r="J8" s="30" t="s">
        <v>2729</v>
      </c>
      <c r="K8" s="31" t="s">
        <v>2675</v>
      </c>
      <c r="L8" s="31" t="s">
        <v>2677</v>
      </c>
      <c r="M8" s="259" t="s">
        <v>2731</v>
      </c>
      <c r="N8" s="255"/>
    </row>
    <row r="9" spans="1:18" ht="15">
      <c r="A9" s="9"/>
      <c r="B9" s="254"/>
      <c r="C9" s="256"/>
      <c r="D9" s="254"/>
      <c r="E9" s="20" t="s">
        <v>2736</v>
      </c>
      <c r="F9" s="33" t="s">
        <v>2735</v>
      </c>
      <c r="G9" s="10" t="s">
        <v>2737</v>
      </c>
      <c r="H9" s="21"/>
      <c r="I9" s="22"/>
      <c r="J9" s="32"/>
      <c r="K9" s="33"/>
      <c r="L9" s="33"/>
      <c r="M9" s="260" t="s">
        <v>2732</v>
      </c>
      <c r="N9" s="261"/>
    </row>
    <row r="10" spans="1:18" ht="15.75" thickBot="1">
      <c r="A10" s="3"/>
      <c r="B10" s="11"/>
      <c r="C10" s="12" t="s">
        <v>2668</v>
      </c>
      <c r="D10" s="11" t="s">
        <v>2725</v>
      </c>
      <c r="E10" s="23" t="s">
        <v>2726</v>
      </c>
      <c r="F10" s="133" t="s">
        <v>2727</v>
      </c>
      <c r="G10" s="134" t="s">
        <v>2727</v>
      </c>
      <c r="H10" s="25" t="s">
        <v>2728</v>
      </c>
      <c r="I10" s="26" t="s">
        <v>2673</v>
      </c>
      <c r="J10" s="34"/>
      <c r="K10" s="35" t="s">
        <v>2676</v>
      </c>
      <c r="L10" s="196" t="s">
        <v>2678</v>
      </c>
      <c r="M10" s="37" t="s">
        <v>2733</v>
      </c>
      <c r="N10" s="43" t="s">
        <v>2734</v>
      </c>
    </row>
    <row r="11" spans="1:18" ht="15.75" thickBot="1">
      <c r="A11" s="2"/>
      <c r="B11" s="13" t="s">
        <v>2830</v>
      </c>
      <c r="C11" s="14">
        <v>0.55000000000000004</v>
      </c>
      <c r="D11" s="15">
        <v>0.75</v>
      </c>
      <c r="E11" s="27">
        <v>2</v>
      </c>
      <c r="F11" s="28">
        <v>20</v>
      </c>
      <c r="G11" s="186">
        <v>22</v>
      </c>
      <c r="H11" s="27" t="s">
        <v>23</v>
      </c>
      <c r="I11" s="28">
        <v>2900</v>
      </c>
      <c r="J11" s="38" t="s">
        <v>851</v>
      </c>
      <c r="K11" s="39">
        <v>30</v>
      </c>
      <c r="L11" s="42">
        <v>3.1985550000000001E-2</v>
      </c>
      <c r="M11" s="78">
        <v>347.00400000000002</v>
      </c>
      <c r="N11" s="78">
        <v>330.58199999999999</v>
      </c>
      <c r="O11" s="224"/>
      <c r="P11" s="224"/>
      <c r="Q11" s="225"/>
      <c r="R11" s="101"/>
    </row>
    <row r="12" spans="1:18" ht="15.75" thickBot="1">
      <c r="A12" s="2"/>
      <c r="B12" s="13" t="s">
        <v>2831</v>
      </c>
      <c r="C12" s="14">
        <v>0.55000000000000004</v>
      </c>
      <c r="D12" s="15">
        <v>0.75</v>
      </c>
      <c r="E12" s="27">
        <v>2</v>
      </c>
      <c r="F12" s="28">
        <v>30</v>
      </c>
      <c r="G12" s="186">
        <v>33</v>
      </c>
      <c r="H12" s="27" t="s">
        <v>23</v>
      </c>
      <c r="I12" s="28">
        <v>2900</v>
      </c>
      <c r="J12" s="38" t="s">
        <v>851</v>
      </c>
      <c r="K12" s="39">
        <v>30</v>
      </c>
      <c r="L12" s="42">
        <v>3.3669000000000004E-2</v>
      </c>
      <c r="M12" s="78">
        <v>357</v>
      </c>
      <c r="N12" s="78">
        <v>339.86399999999998</v>
      </c>
      <c r="O12" s="224"/>
      <c r="P12" s="224"/>
      <c r="Q12" s="225"/>
      <c r="R12" s="101"/>
    </row>
    <row r="13" spans="1:18" ht="15.75" thickBot="1">
      <c r="A13" s="2"/>
      <c r="B13" s="13" t="s">
        <v>2832</v>
      </c>
      <c r="C13" s="14">
        <v>0.75</v>
      </c>
      <c r="D13" s="15">
        <v>1</v>
      </c>
      <c r="E13" s="27">
        <v>2</v>
      </c>
      <c r="F13" s="28">
        <v>40</v>
      </c>
      <c r="G13" s="186">
        <v>44</v>
      </c>
      <c r="H13" s="27" t="s">
        <v>23</v>
      </c>
      <c r="I13" s="28">
        <v>2900</v>
      </c>
      <c r="J13" s="38" t="s">
        <v>851</v>
      </c>
      <c r="K13" s="39">
        <v>30</v>
      </c>
      <c r="L13" s="42">
        <v>3.5352450000000001E-2</v>
      </c>
      <c r="M13" s="78">
        <v>373.42199999999997</v>
      </c>
      <c r="N13" s="78">
        <v>355.57199999999995</v>
      </c>
      <c r="O13" s="224"/>
      <c r="P13" s="224"/>
      <c r="Q13" s="225"/>
      <c r="R13" s="101"/>
    </row>
    <row r="14" spans="1:18" ht="15.75" thickBot="1">
      <c r="A14" s="2"/>
      <c r="B14" s="13" t="s">
        <v>2833</v>
      </c>
      <c r="C14" s="14">
        <v>1.1000000000000001</v>
      </c>
      <c r="D14" s="15">
        <v>1.5</v>
      </c>
      <c r="E14" s="27">
        <v>2</v>
      </c>
      <c r="F14" s="28">
        <v>50</v>
      </c>
      <c r="G14" s="186">
        <v>55</v>
      </c>
      <c r="H14" s="27" t="s">
        <v>23</v>
      </c>
      <c r="I14" s="28">
        <v>2900</v>
      </c>
      <c r="J14" s="38" t="s">
        <v>851</v>
      </c>
      <c r="K14" s="39">
        <v>31</v>
      </c>
      <c r="L14" s="42">
        <v>3.9998772000000002E-2</v>
      </c>
      <c r="M14" s="78">
        <v>399.12600000000003</v>
      </c>
      <c r="N14" s="78">
        <v>380.20499999999998</v>
      </c>
      <c r="O14" s="224"/>
      <c r="P14" s="224"/>
      <c r="Q14" s="225"/>
      <c r="R14" s="101"/>
    </row>
    <row r="15" spans="1:18" ht="15.75" thickBot="1">
      <c r="A15" s="2"/>
      <c r="B15" s="13" t="s">
        <v>2834</v>
      </c>
      <c r="C15" s="14">
        <v>1.5</v>
      </c>
      <c r="D15" s="15">
        <v>2</v>
      </c>
      <c r="E15" s="27">
        <v>2</v>
      </c>
      <c r="F15" s="28">
        <v>60</v>
      </c>
      <c r="G15" s="186">
        <v>66</v>
      </c>
      <c r="H15" s="27" t="s">
        <v>23</v>
      </c>
      <c r="I15" s="28">
        <v>2900</v>
      </c>
      <c r="J15" s="38" t="s">
        <v>851</v>
      </c>
      <c r="K15" s="39">
        <v>32</v>
      </c>
      <c r="L15" s="42">
        <v>4.1682222000000005E-2</v>
      </c>
      <c r="M15" s="78">
        <v>431.97</v>
      </c>
      <c r="N15" s="78">
        <v>411.26400000000001</v>
      </c>
      <c r="O15" s="224"/>
      <c r="P15" s="224"/>
      <c r="Q15" s="225"/>
      <c r="R15" s="101"/>
    </row>
    <row r="16" spans="1:18" ht="15.75" thickBot="1">
      <c r="A16" s="2"/>
      <c r="B16" s="13" t="s">
        <v>2835</v>
      </c>
      <c r="C16" s="14">
        <v>1.5</v>
      </c>
      <c r="D16" s="15">
        <v>2</v>
      </c>
      <c r="E16" s="27">
        <v>2</v>
      </c>
      <c r="F16" s="28">
        <v>70</v>
      </c>
      <c r="G16" s="186">
        <v>77</v>
      </c>
      <c r="H16" s="27" t="s">
        <v>23</v>
      </c>
      <c r="I16" s="28">
        <v>2900</v>
      </c>
      <c r="J16" s="38" t="s">
        <v>851</v>
      </c>
      <c r="K16" s="39">
        <v>32</v>
      </c>
      <c r="L16" s="42">
        <v>4.3365672000000001E-2</v>
      </c>
      <c r="M16" s="78">
        <v>441.25199999999995</v>
      </c>
      <c r="N16" s="78">
        <v>420.18900000000002</v>
      </c>
      <c r="O16" s="224"/>
      <c r="P16" s="224"/>
      <c r="Q16" s="225"/>
      <c r="R16" s="101"/>
    </row>
    <row r="17" spans="1:18" ht="15.75" thickBot="1">
      <c r="A17" s="2"/>
      <c r="B17" s="13" t="s">
        <v>2836</v>
      </c>
      <c r="C17" s="14">
        <v>1.5</v>
      </c>
      <c r="D17" s="15">
        <v>2</v>
      </c>
      <c r="E17" s="27">
        <v>2</v>
      </c>
      <c r="F17" s="28">
        <v>80</v>
      </c>
      <c r="G17" s="186">
        <v>88</v>
      </c>
      <c r="H17" s="27" t="s">
        <v>23</v>
      </c>
      <c r="I17" s="28">
        <v>2900</v>
      </c>
      <c r="J17" s="38" t="s">
        <v>851</v>
      </c>
      <c r="K17" s="39">
        <v>32</v>
      </c>
      <c r="L17" s="42">
        <v>4.5049122000000004E-2</v>
      </c>
      <c r="M17" s="78">
        <v>450.89100000000002</v>
      </c>
      <c r="N17" s="78">
        <v>429.471</v>
      </c>
      <c r="O17" s="224"/>
      <c r="P17" s="224"/>
      <c r="Q17" s="225"/>
      <c r="R17" s="101"/>
    </row>
    <row r="18" spans="1:18" ht="15.75" thickBot="1">
      <c r="A18" s="2"/>
      <c r="B18" s="13" t="s">
        <v>2837</v>
      </c>
      <c r="C18" s="14">
        <v>0.55000000000000004</v>
      </c>
      <c r="D18" s="15">
        <v>0.75</v>
      </c>
      <c r="E18" s="27">
        <v>4</v>
      </c>
      <c r="F18" s="28">
        <v>20</v>
      </c>
      <c r="G18" s="186">
        <v>24</v>
      </c>
      <c r="H18" s="27" t="s">
        <v>23</v>
      </c>
      <c r="I18" s="28">
        <v>2900</v>
      </c>
      <c r="J18" s="38" t="s">
        <v>851</v>
      </c>
      <c r="K18" s="39">
        <v>30</v>
      </c>
      <c r="L18" s="42">
        <v>3.1985550000000001E-2</v>
      </c>
      <c r="M18" s="78">
        <v>347.00400000000002</v>
      </c>
      <c r="N18" s="78">
        <v>330.58199999999999</v>
      </c>
      <c r="O18" s="224"/>
      <c r="P18" s="224"/>
      <c r="Q18" s="225"/>
      <c r="R18" s="101"/>
    </row>
    <row r="19" spans="1:18" ht="15.75" thickBot="1">
      <c r="A19" s="2"/>
      <c r="B19" s="13" t="s">
        <v>2838</v>
      </c>
      <c r="C19" s="14">
        <v>0.75</v>
      </c>
      <c r="D19" s="15">
        <v>1</v>
      </c>
      <c r="E19" s="27">
        <v>4</v>
      </c>
      <c r="F19" s="28">
        <v>30</v>
      </c>
      <c r="G19" s="186">
        <v>36</v>
      </c>
      <c r="H19" s="27" t="s">
        <v>23</v>
      </c>
      <c r="I19" s="28">
        <v>2900</v>
      </c>
      <c r="J19" s="38" t="s">
        <v>851</v>
      </c>
      <c r="K19" s="39">
        <v>30</v>
      </c>
      <c r="L19" s="42">
        <v>3.3669000000000004E-2</v>
      </c>
      <c r="M19" s="78">
        <v>363.78300000000002</v>
      </c>
      <c r="N19" s="78">
        <v>346.29</v>
      </c>
      <c r="O19" s="224"/>
      <c r="P19" s="224"/>
      <c r="Q19" s="225"/>
      <c r="R19" s="101"/>
    </row>
    <row r="20" spans="1:18" ht="15.75" thickBot="1">
      <c r="A20" s="2"/>
      <c r="B20" s="13" t="s">
        <v>2839</v>
      </c>
      <c r="C20" s="14">
        <v>1.1000000000000001</v>
      </c>
      <c r="D20" s="15">
        <v>1.5</v>
      </c>
      <c r="E20" s="27">
        <v>4</v>
      </c>
      <c r="F20" s="28">
        <v>40</v>
      </c>
      <c r="G20" s="186">
        <v>48</v>
      </c>
      <c r="H20" s="27" t="s">
        <v>23</v>
      </c>
      <c r="I20" s="28">
        <v>2900</v>
      </c>
      <c r="J20" s="38" t="s">
        <v>851</v>
      </c>
      <c r="K20" s="39">
        <v>31</v>
      </c>
      <c r="L20" s="42">
        <v>3.8315321999999999E-2</v>
      </c>
      <c r="M20" s="78">
        <v>389.48699999999997</v>
      </c>
      <c r="N20" s="78">
        <v>370.92300000000006</v>
      </c>
      <c r="O20" s="224"/>
      <c r="P20" s="224"/>
      <c r="Q20" s="225"/>
      <c r="R20" s="101"/>
    </row>
    <row r="21" spans="1:18" ht="15.75" thickBot="1">
      <c r="A21" s="2"/>
      <c r="B21" s="13" t="s">
        <v>2840</v>
      </c>
      <c r="C21" s="14">
        <v>1.5</v>
      </c>
      <c r="D21" s="15">
        <v>2</v>
      </c>
      <c r="E21" s="27">
        <v>4</v>
      </c>
      <c r="F21" s="28">
        <v>50</v>
      </c>
      <c r="G21" s="186">
        <v>60</v>
      </c>
      <c r="H21" s="27" t="s">
        <v>23</v>
      </c>
      <c r="I21" s="28">
        <v>2900</v>
      </c>
      <c r="J21" s="38" t="s">
        <v>851</v>
      </c>
      <c r="K21" s="39">
        <v>32</v>
      </c>
      <c r="L21" s="42">
        <v>3.9998772000000002E-2</v>
      </c>
      <c r="M21" s="78">
        <v>421.97399999999999</v>
      </c>
      <c r="N21" s="78">
        <v>401.98199999999997</v>
      </c>
      <c r="O21" s="224"/>
      <c r="P21" s="224"/>
      <c r="Q21" s="225"/>
      <c r="R21" s="101"/>
    </row>
    <row r="22" spans="1:18" ht="15.75" thickBot="1">
      <c r="A22" s="2"/>
      <c r="B22" s="13" t="s">
        <v>2841</v>
      </c>
      <c r="C22" s="14">
        <v>1.5</v>
      </c>
      <c r="D22" s="15">
        <v>2</v>
      </c>
      <c r="E22" s="27">
        <v>4</v>
      </c>
      <c r="F22" s="28">
        <v>60</v>
      </c>
      <c r="G22" s="186">
        <v>72</v>
      </c>
      <c r="H22" s="27" t="s">
        <v>23</v>
      </c>
      <c r="I22" s="28">
        <v>2900</v>
      </c>
      <c r="J22" s="38" t="s">
        <v>851</v>
      </c>
      <c r="K22" s="39">
        <v>32</v>
      </c>
      <c r="L22" s="42">
        <v>4.1682222000000005E-2</v>
      </c>
      <c r="M22" s="78">
        <v>431.97</v>
      </c>
      <c r="N22" s="78">
        <v>411.26400000000001</v>
      </c>
      <c r="O22" s="224"/>
      <c r="P22" s="224"/>
      <c r="Q22" s="225"/>
      <c r="R22" s="101"/>
    </row>
    <row r="23" spans="1:18" ht="15.75" thickBot="1">
      <c r="A23" s="2"/>
      <c r="B23" s="13" t="s">
        <v>2842</v>
      </c>
      <c r="C23" s="14">
        <v>2.2000000000000002</v>
      </c>
      <c r="D23" s="15">
        <v>3</v>
      </c>
      <c r="E23" s="27">
        <v>4</v>
      </c>
      <c r="F23" s="28">
        <v>70</v>
      </c>
      <c r="G23" s="186">
        <v>84</v>
      </c>
      <c r="H23" s="27" t="s">
        <v>23</v>
      </c>
      <c r="I23" s="28">
        <v>2900</v>
      </c>
      <c r="J23" s="38" t="s">
        <v>851</v>
      </c>
      <c r="K23" s="39">
        <v>35</v>
      </c>
      <c r="L23" s="42">
        <v>4.5049122000000004E-2</v>
      </c>
      <c r="M23" s="78">
        <v>464.1</v>
      </c>
      <c r="N23" s="78">
        <v>441.96600000000001</v>
      </c>
      <c r="O23" s="224"/>
      <c r="P23" s="224"/>
      <c r="Q23" s="225"/>
      <c r="R23" s="101"/>
    </row>
    <row r="24" spans="1:18" ht="15.75" thickBot="1">
      <c r="A24" s="2"/>
      <c r="B24" s="13" t="s">
        <v>2843</v>
      </c>
      <c r="C24" s="14">
        <v>2.2000000000000002</v>
      </c>
      <c r="D24" s="15">
        <v>3</v>
      </c>
      <c r="E24" s="27">
        <v>4</v>
      </c>
      <c r="F24" s="28">
        <v>80</v>
      </c>
      <c r="G24" s="186">
        <v>96</v>
      </c>
      <c r="H24" s="27" t="s">
        <v>23</v>
      </c>
      <c r="I24" s="28">
        <v>2900</v>
      </c>
      <c r="J24" s="38" t="s">
        <v>851</v>
      </c>
      <c r="K24" s="39">
        <v>36</v>
      </c>
      <c r="L24" s="42">
        <v>4.6732572E-2</v>
      </c>
      <c r="M24" s="78">
        <v>473.73899999999992</v>
      </c>
      <c r="N24" s="78">
        <v>451.24800000000005</v>
      </c>
      <c r="O24" s="224"/>
      <c r="P24" s="224"/>
      <c r="Q24" s="225"/>
      <c r="R24" s="101"/>
    </row>
    <row r="25" spans="1:18" ht="15.75" thickBot="1">
      <c r="A25" s="2"/>
      <c r="B25" s="13" t="s">
        <v>2844</v>
      </c>
      <c r="C25" s="14">
        <v>0.75</v>
      </c>
      <c r="D25" s="15">
        <v>1</v>
      </c>
      <c r="E25" s="27">
        <v>6</v>
      </c>
      <c r="F25" s="28">
        <v>20</v>
      </c>
      <c r="G25" s="186">
        <v>26</v>
      </c>
      <c r="H25" s="27" t="s">
        <v>107</v>
      </c>
      <c r="I25" s="28">
        <v>2900</v>
      </c>
      <c r="J25" s="38" t="s">
        <v>851</v>
      </c>
      <c r="K25" s="39">
        <v>30</v>
      </c>
      <c r="L25" s="42">
        <v>3.1985550000000001E-2</v>
      </c>
      <c r="M25" s="78">
        <v>353.78699999999998</v>
      </c>
      <c r="N25" s="78">
        <v>337.00800000000004</v>
      </c>
      <c r="O25" s="224"/>
      <c r="P25" s="224"/>
      <c r="Q25" s="225"/>
      <c r="R25" s="101"/>
    </row>
    <row r="26" spans="1:18" ht="15.75" thickBot="1">
      <c r="A26" s="2"/>
      <c r="B26" s="13" t="s">
        <v>2845</v>
      </c>
      <c r="C26" s="14">
        <v>1.1000000000000001</v>
      </c>
      <c r="D26" s="15">
        <v>1.5</v>
      </c>
      <c r="E26" s="27">
        <v>6</v>
      </c>
      <c r="F26" s="28">
        <v>30</v>
      </c>
      <c r="G26" s="186">
        <v>39</v>
      </c>
      <c r="H26" s="27" t="s">
        <v>107</v>
      </c>
      <c r="I26" s="28">
        <v>2900</v>
      </c>
      <c r="J26" s="38" t="s">
        <v>851</v>
      </c>
      <c r="K26" s="39">
        <v>31</v>
      </c>
      <c r="L26" s="42">
        <v>3.663187200000001E-2</v>
      </c>
      <c r="M26" s="78">
        <v>379.84800000000001</v>
      </c>
      <c r="N26" s="78">
        <v>361.64100000000002</v>
      </c>
      <c r="O26" s="224"/>
      <c r="P26" s="224"/>
      <c r="Q26" s="225"/>
      <c r="R26" s="101"/>
    </row>
    <row r="27" spans="1:18" ht="15.75" thickBot="1">
      <c r="A27" s="2"/>
      <c r="B27" s="13" t="s">
        <v>2846</v>
      </c>
      <c r="C27" s="14">
        <v>1.1000000000000001</v>
      </c>
      <c r="D27" s="15">
        <v>1.5</v>
      </c>
      <c r="E27" s="27">
        <v>6</v>
      </c>
      <c r="F27" s="28">
        <v>40</v>
      </c>
      <c r="G27" s="186">
        <v>52</v>
      </c>
      <c r="H27" s="27" t="s">
        <v>107</v>
      </c>
      <c r="I27" s="28">
        <v>2900</v>
      </c>
      <c r="J27" s="38" t="s">
        <v>851</v>
      </c>
      <c r="K27" s="39">
        <v>31</v>
      </c>
      <c r="L27" s="42">
        <v>3.8315321999999999E-2</v>
      </c>
      <c r="M27" s="78">
        <v>389.48699999999997</v>
      </c>
      <c r="N27" s="78">
        <v>370.92300000000006</v>
      </c>
      <c r="O27" s="224"/>
      <c r="P27" s="224"/>
      <c r="Q27" s="225"/>
      <c r="R27" s="101"/>
    </row>
    <row r="28" spans="1:18" ht="15.75" thickBot="1">
      <c r="A28" s="2"/>
      <c r="B28" s="13" t="s">
        <v>2847</v>
      </c>
      <c r="C28" s="14">
        <v>1.5</v>
      </c>
      <c r="D28" s="15">
        <v>2</v>
      </c>
      <c r="E28" s="27">
        <v>6</v>
      </c>
      <c r="F28" s="28">
        <v>50</v>
      </c>
      <c r="G28" s="186">
        <v>65</v>
      </c>
      <c r="H28" s="27" t="s">
        <v>107</v>
      </c>
      <c r="I28" s="28">
        <v>2900</v>
      </c>
      <c r="J28" s="38" t="s">
        <v>851</v>
      </c>
      <c r="K28" s="39">
        <v>32</v>
      </c>
      <c r="L28" s="42">
        <v>3.9998772000000002E-2</v>
      </c>
      <c r="M28" s="78">
        <v>421.97399999999999</v>
      </c>
      <c r="N28" s="78">
        <v>401.98199999999997</v>
      </c>
      <c r="O28" s="224"/>
      <c r="P28" s="224"/>
      <c r="Q28" s="225"/>
      <c r="R28" s="101"/>
    </row>
    <row r="29" spans="1:18" ht="15.75" thickBot="1">
      <c r="A29" s="2"/>
      <c r="B29" s="13" t="s">
        <v>2848</v>
      </c>
      <c r="C29" s="14">
        <v>2.2000000000000002</v>
      </c>
      <c r="D29" s="15">
        <v>3</v>
      </c>
      <c r="E29" s="27">
        <v>6</v>
      </c>
      <c r="F29" s="28">
        <v>60</v>
      </c>
      <c r="G29" s="186">
        <v>78</v>
      </c>
      <c r="H29" s="27" t="s">
        <v>107</v>
      </c>
      <c r="I29" s="28">
        <v>2900</v>
      </c>
      <c r="J29" s="38" t="s">
        <v>851</v>
      </c>
      <c r="K29" s="39">
        <v>35</v>
      </c>
      <c r="L29" s="42">
        <v>4.3365672000000001E-2</v>
      </c>
      <c r="M29" s="78">
        <v>454.46100000000001</v>
      </c>
      <c r="N29" s="78">
        <v>432.68399999999997</v>
      </c>
      <c r="O29" s="224"/>
      <c r="P29" s="224"/>
      <c r="Q29" s="225"/>
      <c r="R29" s="101"/>
    </row>
    <row r="30" spans="1:18" ht="15.75" thickBot="1">
      <c r="A30" s="2"/>
      <c r="B30" s="13" t="s">
        <v>2849</v>
      </c>
      <c r="C30" s="14">
        <v>2.2000000000000002</v>
      </c>
      <c r="D30" s="15">
        <v>3</v>
      </c>
      <c r="E30" s="27">
        <v>6</v>
      </c>
      <c r="F30" s="28">
        <v>70</v>
      </c>
      <c r="G30" s="186">
        <v>91</v>
      </c>
      <c r="H30" s="27" t="s">
        <v>107</v>
      </c>
      <c r="I30" s="28">
        <v>2900</v>
      </c>
      <c r="J30" s="38" t="s">
        <v>851</v>
      </c>
      <c r="K30" s="39">
        <v>35</v>
      </c>
      <c r="L30" s="42">
        <v>4.5049122000000004E-2</v>
      </c>
      <c r="M30" s="78">
        <v>464.1</v>
      </c>
      <c r="N30" s="78">
        <v>441.96600000000001</v>
      </c>
      <c r="O30" s="224"/>
      <c r="P30" s="224"/>
      <c r="Q30" s="225"/>
      <c r="R30" s="101"/>
    </row>
    <row r="31" spans="1:18" ht="15.75" thickBot="1">
      <c r="A31" s="2"/>
      <c r="B31" s="13" t="s">
        <v>2850</v>
      </c>
      <c r="C31" s="14">
        <v>3</v>
      </c>
      <c r="D31" s="15">
        <v>4</v>
      </c>
      <c r="E31" s="27">
        <v>6</v>
      </c>
      <c r="F31" s="28">
        <v>80</v>
      </c>
      <c r="G31" s="186">
        <v>104</v>
      </c>
      <c r="H31" s="27" t="s">
        <v>107</v>
      </c>
      <c r="I31" s="28">
        <v>2900</v>
      </c>
      <c r="J31" s="38" t="s">
        <v>851</v>
      </c>
      <c r="K31" s="39">
        <v>39</v>
      </c>
      <c r="L31" s="42">
        <v>5.2488800000000002E-2</v>
      </c>
      <c r="M31" s="78">
        <v>541.92600000000004</v>
      </c>
      <c r="N31" s="78">
        <v>516.22199999999998</v>
      </c>
      <c r="O31" s="224"/>
      <c r="P31" s="224"/>
      <c r="Q31" s="225"/>
      <c r="R31" s="101"/>
    </row>
    <row r="32" spans="1:18" ht="15.75" thickBot="1">
      <c r="A32" s="2"/>
      <c r="B32" s="13" t="s">
        <v>2851</v>
      </c>
      <c r="C32" s="14">
        <v>0.75</v>
      </c>
      <c r="D32" s="15">
        <v>1</v>
      </c>
      <c r="E32" s="27">
        <v>8</v>
      </c>
      <c r="F32" s="28">
        <v>20</v>
      </c>
      <c r="G32" s="186">
        <v>23</v>
      </c>
      <c r="H32" s="27" t="s">
        <v>136</v>
      </c>
      <c r="I32" s="28">
        <v>2900</v>
      </c>
      <c r="J32" s="38" t="s">
        <v>851</v>
      </c>
      <c r="K32" s="39">
        <v>30</v>
      </c>
      <c r="L32" s="42">
        <v>3.2524254000000002E-2</v>
      </c>
      <c r="M32" s="78">
        <v>353.78699999999998</v>
      </c>
      <c r="N32" s="78">
        <v>337.00800000000004</v>
      </c>
      <c r="O32" s="224"/>
      <c r="P32" s="224"/>
      <c r="Q32" s="225"/>
      <c r="R32" s="101"/>
    </row>
    <row r="33" spans="1:18" ht="15.75" thickBot="1">
      <c r="A33" s="2"/>
      <c r="B33" s="13" t="s">
        <v>2852</v>
      </c>
      <c r="C33" s="14">
        <v>1.1000000000000001</v>
      </c>
      <c r="D33" s="15">
        <v>1.5</v>
      </c>
      <c r="E33" s="27">
        <v>8</v>
      </c>
      <c r="F33" s="28">
        <v>30</v>
      </c>
      <c r="G33" s="186">
        <v>35</v>
      </c>
      <c r="H33" s="27" t="s">
        <v>136</v>
      </c>
      <c r="I33" s="28">
        <v>2900</v>
      </c>
      <c r="J33" s="38" t="s">
        <v>851</v>
      </c>
      <c r="K33" s="39">
        <v>31</v>
      </c>
      <c r="L33" s="42">
        <v>3.7439928000000004E-2</v>
      </c>
      <c r="M33" s="78">
        <v>379.84800000000001</v>
      </c>
      <c r="N33" s="78">
        <v>361.64100000000002</v>
      </c>
      <c r="O33" s="224"/>
      <c r="P33" s="224"/>
      <c r="Q33" s="225"/>
      <c r="R33" s="101"/>
    </row>
    <row r="34" spans="1:18" ht="15.75" thickBot="1">
      <c r="A34" s="2"/>
      <c r="B34" s="13" t="s">
        <v>2853</v>
      </c>
      <c r="C34" s="14">
        <v>1.5</v>
      </c>
      <c r="D34" s="15">
        <v>2</v>
      </c>
      <c r="E34" s="27">
        <v>8</v>
      </c>
      <c r="F34" s="28">
        <v>40</v>
      </c>
      <c r="G34" s="186">
        <v>47</v>
      </c>
      <c r="H34" s="27" t="s">
        <v>136</v>
      </c>
      <c r="I34" s="28">
        <v>2900</v>
      </c>
      <c r="J34" s="38" t="s">
        <v>851</v>
      </c>
      <c r="K34" s="39">
        <v>32</v>
      </c>
      <c r="L34" s="42">
        <v>3.9392730000000001E-2</v>
      </c>
      <c r="M34" s="78">
        <v>412.33499999999998</v>
      </c>
      <c r="N34" s="78">
        <v>392.7</v>
      </c>
      <c r="O34" s="224"/>
      <c r="P34" s="224"/>
      <c r="Q34" s="225"/>
      <c r="R34" s="101"/>
    </row>
    <row r="35" spans="1:18" ht="15.75" thickBot="1">
      <c r="A35" s="2"/>
      <c r="B35" s="13" t="s">
        <v>2854</v>
      </c>
      <c r="C35" s="14">
        <v>2.2000000000000002</v>
      </c>
      <c r="D35" s="15">
        <v>3</v>
      </c>
      <c r="E35" s="27">
        <v>8</v>
      </c>
      <c r="F35" s="28">
        <v>50</v>
      </c>
      <c r="G35" s="186">
        <v>58</v>
      </c>
      <c r="H35" s="27" t="s">
        <v>136</v>
      </c>
      <c r="I35" s="28">
        <v>2900</v>
      </c>
      <c r="J35" s="38" t="s">
        <v>851</v>
      </c>
      <c r="K35" s="39">
        <v>35</v>
      </c>
      <c r="L35" s="42">
        <v>4.3028982000000007E-2</v>
      </c>
      <c r="M35" s="78">
        <v>448.03500000000003</v>
      </c>
      <c r="N35" s="78">
        <v>426.61500000000001</v>
      </c>
      <c r="O35" s="224"/>
      <c r="P35" s="224"/>
      <c r="Q35" s="225"/>
      <c r="R35" s="101"/>
    </row>
    <row r="36" spans="1:18" ht="15.75" thickBot="1">
      <c r="A36" s="2"/>
      <c r="B36" s="13" t="s">
        <v>2855</v>
      </c>
      <c r="C36" s="14">
        <v>3</v>
      </c>
      <c r="D36" s="15">
        <v>4</v>
      </c>
      <c r="E36" s="27">
        <v>8</v>
      </c>
      <c r="F36" s="28">
        <v>60</v>
      </c>
      <c r="G36" s="186">
        <v>70</v>
      </c>
      <c r="H36" s="27" t="s">
        <v>136</v>
      </c>
      <c r="I36" s="28">
        <v>2900</v>
      </c>
      <c r="J36" s="38" t="s">
        <v>851</v>
      </c>
      <c r="K36" s="39">
        <v>39</v>
      </c>
      <c r="L36" s="42">
        <v>5.0596000000000002E-2</v>
      </c>
      <c r="M36" s="78">
        <v>522.64800000000002</v>
      </c>
      <c r="N36" s="78">
        <v>497.65800000000002</v>
      </c>
      <c r="O36" s="224"/>
      <c r="P36" s="224"/>
      <c r="Q36" s="225"/>
      <c r="R36" s="101"/>
    </row>
    <row r="37" spans="1:18" ht="15.75" thickBot="1">
      <c r="A37" s="2"/>
      <c r="B37" s="13" t="s">
        <v>2856</v>
      </c>
      <c r="C37" s="14">
        <v>3</v>
      </c>
      <c r="D37" s="15">
        <v>4</v>
      </c>
      <c r="E37" s="27">
        <v>8</v>
      </c>
      <c r="F37" s="28">
        <v>70</v>
      </c>
      <c r="G37" s="186">
        <v>82</v>
      </c>
      <c r="H37" s="27" t="s">
        <v>136</v>
      </c>
      <c r="I37" s="28">
        <v>2900</v>
      </c>
      <c r="J37" s="38" t="s">
        <v>851</v>
      </c>
      <c r="K37" s="39">
        <v>39</v>
      </c>
      <c r="L37" s="42">
        <v>5.2707200000000003E-2</v>
      </c>
      <c r="M37" s="78">
        <v>532.28700000000003</v>
      </c>
      <c r="N37" s="78">
        <v>506.94</v>
      </c>
      <c r="O37" s="224"/>
      <c r="P37" s="224"/>
      <c r="Q37" s="225"/>
      <c r="R37" s="101"/>
    </row>
    <row r="38" spans="1:18" ht="15.75" thickBot="1">
      <c r="A38" s="2"/>
      <c r="B38" s="13" t="s">
        <v>2857</v>
      </c>
      <c r="C38" s="14">
        <v>4</v>
      </c>
      <c r="D38" s="15">
        <v>5.5</v>
      </c>
      <c r="E38" s="27">
        <v>8</v>
      </c>
      <c r="F38" s="28">
        <v>80</v>
      </c>
      <c r="G38" s="186">
        <v>93</v>
      </c>
      <c r="H38" s="27" t="s">
        <v>136</v>
      </c>
      <c r="I38" s="28">
        <v>2900</v>
      </c>
      <c r="J38" s="38" t="s">
        <v>851</v>
      </c>
      <c r="K38" s="39">
        <v>43</v>
      </c>
      <c r="L38" s="42">
        <v>5.6120680000000006E-2</v>
      </c>
      <c r="M38" s="78"/>
      <c r="N38" s="78">
        <v>581.19600000000003</v>
      </c>
      <c r="O38" s="224"/>
      <c r="P38" s="224"/>
      <c r="Q38" s="225"/>
      <c r="R38" s="101"/>
    </row>
    <row r="39" spans="1:18" ht="15.75" thickBot="1">
      <c r="A39" s="2"/>
      <c r="B39" s="13" t="s">
        <v>2858</v>
      </c>
      <c r="C39" s="14">
        <v>1.1000000000000001</v>
      </c>
      <c r="D39" s="15">
        <v>1.5</v>
      </c>
      <c r="E39" s="27">
        <v>10</v>
      </c>
      <c r="F39" s="28">
        <v>20</v>
      </c>
      <c r="G39" s="186">
        <v>24</v>
      </c>
      <c r="H39" s="27" t="s">
        <v>160</v>
      </c>
      <c r="I39" s="28">
        <v>2900</v>
      </c>
      <c r="J39" s="38" t="s">
        <v>851</v>
      </c>
      <c r="K39" s="39">
        <v>31</v>
      </c>
      <c r="L39" s="42">
        <v>3.5487126000000001E-2</v>
      </c>
      <c r="M39" s="78">
        <v>369.85199999999998</v>
      </c>
      <c r="N39" s="78">
        <v>352.35899999999998</v>
      </c>
      <c r="O39" s="224"/>
      <c r="P39" s="224"/>
      <c r="Q39" s="225"/>
      <c r="R39" s="101"/>
    </row>
    <row r="40" spans="1:18" ht="15.75" thickBot="1">
      <c r="A40" s="2"/>
      <c r="B40" s="13" t="s">
        <v>2859</v>
      </c>
      <c r="C40" s="14">
        <v>1.5</v>
      </c>
      <c r="D40" s="15">
        <v>2</v>
      </c>
      <c r="E40" s="27">
        <v>10</v>
      </c>
      <c r="F40" s="28">
        <v>30</v>
      </c>
      <c r="G40" s="186">
        <v>36</v>
      </c>
      <c r="H40" s="27" t="s">
        <v>160</v>
      </c>
      <c r="I40" s="28">
        <v>2900</v>
      </c>
      <c r="J40" s="38" t="s">
        <v>851</v>
      </c>
      <c r="K40" s="39">
        <v>32</v>
      </c>
      <c r="L40" s="42">
        <v>3.7439928000000004E-2</v>
      </c>
      <c r="M40" s="78">
        <v>402.69600000000003</v>
      </c>
      <c r="N40" s="78">
        <v>383.41800000000006</v>
      </c>
      <c r="O40" s="224"/>
      <c r="P40" s="224"/>
      <c r="Q40" s="225"/>
      <c r="R40" s="101"/>
    </row>
    <row r="41" spans="1:18" ht="15.75" thickBot="1">
      <c r="A41" s="2"/>
      <c r="B41" s="13" t="s">
        <v>2860</v>
      </c>
      <c r="C41" s="14">
        <v>2.2000000000000002</v>
      </c>
      <c r="D41" s="15">
        <v>3</v>
      </c>
      <c r="E41" s="27">
        <v>10</v>
      </c>
      <c r="F41" s="28">
        <v>40</v>
      </c>
      <c r="G41" s="186">
        <v>48</v>
      </c>
      <c r="H41" s="27" t="s">
        <v>160</v>
      </c>
      <c r="I41" s="28">
        <v>2900</v>
      </c>
      <c r="J41" s="38" t="s">
        <v>851</v>
      </c>
      <c r="K41" s="39">
        <v>35</v>
      </c>
      <c r="L41" s="42">
        <v>4.1076179999999997E-2</v>
      </c>
      <c r="M41" s="78">
        <v>441.25199999999995</v>
      </c>
      <c r="N41" s="78">
        <v>420.18900000000002</v>
      </c>
      <c r="O41" s="224"/>
      <c r="P41" s="224"/>
      <c r="Q41" s="225"/>
      <c r="R41" s="101"/>
    </row>
    <row r="42" spans="1:18" ht="15.75" thickBot="1">
      <c r="A42" s="2"/>
      <c r="B42" s="13" t="s">
        <v>2861</v>
      </c>
      <c r="C42" s="14">
        <v>3</v>
      </c>
      <c r="D42" s="15">
        <v>4</v>
      </c>
      <c r="E42" s="27">
        <v>10</v>
      </c>
      <c r="F42" s="28">
        <v>50</v>
      </c>
      <c r="G42" s="186">
        <v>60</v>
      </c>
      <c r="H42" s="27" t="s">
        <v>160</v>
      </c>
      <c r="I42" s="28">
        <v>2900</v>
      </c>
      <c r="J42" s="38" t="s">
        <v>851</v>
      </c>
      <c r="K42" s="39">
        <v>39</v>
      </c>
      <c r="L42" s="42">
        <v>4.8484800000000008E-2</v>
      </c>
      <c r="M42" s="78">
        <v>516.22199999999998</v>
      </c>
      <c r="N42" s="78">
        <v>491.58899999999994</v>
      </c>
      <c r="O42" s="224"/>
      <c r="P42" s="224"/>
      <c r="Q42" s="225"/>
      <c r="R42" s="101"/>
    </row>
    <row r="43" spans="1:18" ht="15.75" thickBot="1">
      <c r="A43" s="2"/>
      <c r="B43" s="13" t="s">
        <v>2862</v>
      </c>
      <c r="C43" s="14">
        <v>3</v>
      </c>
      <c r="D43" s="15">
        <v>4</v>
      </c>
      <c r="E43" s="27">
        <v>10</v>
      </c>
      <c r="F43" s="28">
        <v>60</v>
      </c>
      <c r="G43" s="186">
        <v>72</v>
      </c>
      <c r="H43" s="27" t="s">
        <v>160</v>
      </c>
      <c r="I43" s="28">
        <v>2900</v>
      </c>
      <c r="J43" s="38" t="s">
        <v>851</v>
      </c>
      <c r="K43" s="39">
        <v>39</v>
      </c>
      <c r="L43" s="42">
        <v>5.0596000000000002E-2</v>
      </c>
      <c r="M43" s="78">
        <v>522.64800000000002</v>
      </c>
      <c r="N43" s="78">
        <v>497.65800000000002</v>
      </c>
      <c r="O43" s="224"/>
      <c r="P43" s="224"/>
      <c r="Q43" s="225"/>
      <c r="R43" s="101"/>
    </row>
    <row r="44" spans="1:18" ht="15.75" thickBot="1">
      <c r="A44" s="2"/>
      <c r="B44" s="13" t="s">
        <v>2863</v>
      </c>
      <c r="C44" s="14">
        <v>4</v>
      </c>
      <c r="D44" s="15">
        <v>5.5</v>
      </c>
      <c r="E44" s="27">
        <v>10</v>
      </c>
      <c r="F44" s="28">
        <v>70</v>
      </c>
      <c r="G44" s="186">
        <v>84</v>
      </c>
      <c r="H44" s="27" t="s">
        <v>160</v>
      </c>
      <c r="I44" s="28">
        <v>2900</v>
      </c>
      <c r="J44" s="38" t="s">
        <v>851</v>
      </c>
      <c r="K44" s="39">
        <v>43</v>
      </c>
      <c r="L44" s="42">
        <v>5.4007044000000004E-2</v>
      </c>
      <c r="M44" s="78"/>
      <c r="N44" s="78">
        <v>571.91399999999999</v>
      </c>
      <c r="O44" s="224"/>
      <c r="P44" s="224"/>
      <c r="Q44" s="225"/>
      <c r="R44" s="101"/>
    </row>
    <row r="45" spans="1:18" ht="15.75" thickBot="1">
      <c r="A45" s="2"/>
      <c r="B45" s="13" t="s">
        <v>2864</v>
      </c>
      <c r="C45" s="14">
        <v>4</v>
      </c>
      <c r="D45" s="15">
        <v>5.5</v>
      </c>
      <c r="E45" s="27">
        <v>10</v>
      </c>
      <c r="F45" s="28">
        <v>80</v>
      </c>
      <c r="G45" s="186">
        <v>96</v>
      </c>
      <c r="H45" s="27" t="s">
        <v>160</v>
      </c>
      <c r="I45" s="28">
        <v>2900</v>
      </c>
      <c r="J45" s="38" t="s">
        <v>851</v>
      </c>
      <c r="K45" s="39">
        <v>43</v>
      </c>
      <c r="L45" s="42">
        <v>5.6120680000000006E-2</v>
      </c>
      <c r="M45" s="78"/>
      <c r="N45" s="78">
        <v>581.19600000000003</v>
      </c>
      <c r="O45" s="224"/>
      <c r="P45" s="224"/>
      <c r="Q45" s="225"/>
      <c r="R45" s="101"/>
    </row>
    <row r="46" spans="1:18" ht="15.75" thickBot="1">
      <c r="A46" s="2"/>
      <c r="B46" s="13" t="s">
        <v>2865</v>
      </c>
      <c r="C46" s="14">
        <v>1.1000000000000001</v>
      </c>
      <c r="D46" s="15">
        <v>1.5</v>
      </c>
      <c r="E46" s="27">
        <v>12</v>
      </c>
      <c r="F46" s="28">
        <v>18</v>
      </c>
      <c r="G46" s="186">
        <v>24</v>
      </c>
      <c r="H46" s="27" t="s">
        <v>160</v>
      </c>
      <c r="I46" s="28">
        <v>2900</v>
      </c>
      <c r="J46" s="38" t="s">
        <v>851</v>
      </c>
      <c r="K46" s="39">
        <v>31</v>
      </c>
      <c r="L46" s="42">
        <v>3.5487126000000001E-2</v>
      </c>
      <c r="M46" s="78">
        <v>369.85199999999998</v>
      </c>
      <c r="N46" s="78">
        <v>352.35899999999998</v>
      </c>
      <c r="O46" s="224"/>
      <c r="P46" s="224"/>
      <c r="Q46" s="225"/>
      <c r="R46" s="101"/>
    </row>
    <row r="47" spans="1:18" ht="15.75" thickBot="1">
      <c r="A47" s="2"/>
      <c r="B47" s="13" t="s">
        <v>2866</v>
      </c>
      <c r="C47" s="14">
        <v>1.5</v>
      </c>
      <c r="D47" s="15">
        <v>2</v>
      </c>
      <c r="E47" s="27">
        <v>12</v>
      </c>
      <c r="F47" s="28">
        <v>27</v>
      </c>
      <c r="G47" s="186">
        <v>36</v>
      </c>
      <c r="H47" s="27" t="s">
        <v>160</v>
      </c>
      <c r="I47" s="28">
        <v>2900</v>
      </c>
      <c r="J47" s="38" t="s">
        <v>851</v>
      </c>
      <c r="K47" s="39">
        <v>32</v>
      </c>
      <c r="L47" s="42">
        <v>3.7439928000000004E-2</v>
      </c>
      <c r="M47" s="78">
        <v>402.69600000000003</v>
      </c>
      <c r="N47" s="78">
        <v>383.41800000000006</v>
      </c>
      <c r="O47" s="224"/>
      <c r="P47" s="224"/>
      <c r="Q47" s="225"/>
      <c r="R47" s="101"/>
    </row>
    <row r="48" spans="1:18" ht="15.75" thickBot="1">
      <c r="A48" s="2"/>
      <c r="B48" s="13" t="s">
        <v>2867</v>
      </c>
      <c r="C48" s="14">
        <v>2.2000000000000002</v>
      </c>
      <c r="D48" s="15">
        <v>3</v>
      </c>
      <c r="E48" s="27">
        <v>12</v>
      </c>
      <c r="F48" s="28">
        <v>36</v>
      </c>
      <c r="G48" s="186">
        <v>48</v>
      </c>
      <c r="H48" s="27" t="s">
        <v>160</v>
      </c>
      <c r="I48" s="28">
        <v>2900</v>
      </c>
      <c r="J48" s="38" t="s">
        <v>851</v>
      </c>
      <c r="K48" s="39">
        <v>35</v>
      </c>
      <c r="L48" s="42">
        <v>4.1076179999999997E-2</v>
      </c>
      <c r="M48" s="78">
        <v>441.25199999999995</v>
      </c>
      <c r="N48" s="78">
        <v>420.18900000000002</v>
      </c>
      <c r="O48" s="224"/>
      <c r="P48" s="224"/>
      <c r="Q48" s="225"/>
      <c r="R48" s="101"/>
    </row>
    <row r="49" spans="1:18" ht="15.75" thickBot="1">
      <c r="A49" s="2"/>
      <c r="B49" s="13" t="s">
        <v>2868</v>
      </c>
      <c r="C49" s="14">
        <v>3</v>
      </c>
      <c r="D49" s="15">
        <v>4</v>
      </c>
      <c r="E49" s="27">
        <v>12</v>
      </c>
      <c r="F49" s="28">
        <v>44</v>
      </c>
      <c r="G49" s="186">
        <v>60</v>
      </c>
      <c r="H49" s="27" t="s">
        <v>160</v>
      </c>
      <c r="I49" s="28">
        <v>2900</v>
      </c>
      <c r="J49" s="38" t="s">
        <v>851</v>
      </c>
      <c r="K49" s="39">
        <v>39</v>
      </c>
      <c r="L49" s="42">
        <v>4.8484800000000008E-2</v>
      </c>
      <c r="M49" s="78">
        <v>516.22199999999998</v>
      </c>
      <c r="N49" s="78">
        <v>491.58899999999994</v>
      </c>
      <c r="O49" s="224"/>
      <c r="P49" s="224"/>
      <c r="Q49" s="225"/>
      <c r="R49" s="101"/>
    </row>
    <row r="50" spans="1:18" ht="15.75" thickBot="1">
      <c r="A50" s="2"/>
      <c r="B50" s="13" t="s">
        <v>2869</v>
      </c>
      <c r="C50" s="14">
        <v>3</v>
      </c>
      <c r="D50" s="15">
        <v>4</v>
      </c>
      <c r="E50" s="27">
        <v>12</v>
      </c>
      <c r="F50" s="28">
        <v>53</v>
      </c>
      <c r="G50" s="186">
        <v>72</v>
      </c>
      <c r="H50" s="27" t="s">
        <v>160</v>
      </c>
      <c r="I50" s="28">
        <v>2900</v>
      </c>
      <c r="J50" s="38" t="s">
        <v>851</v>
      </c>
      <c r="K50" s="39">
        <v>39</v>
      </c>
      <c r="L50" s="42">
        <v>5.0596000000000002E-2</v>
      </c>
      <c r="M50" s="78">
        <v>522.64800000000002</v>
      </c>
      <c r="N50" s="78">
        <v>497.65800000000002</v>
      </c>
      <c r="O50" s="224"/>
      <c r="P50" s="224"/>
      <c r="Q50" s="225"/>
      <c r="R50" s="101"/>
    </row>
    <row r="51" spans="1:18" ht="15.75" thickBot="1">
      <c r="A51" s="2"/>
      <c r="B51" s="13" t="s">
        <v>2870</v>
      </c>
      <c r="C51" s="14">
        <v>4</v>
      </c>
      <c r="D51" s="15">
        <v>5.5</v>
      </c>
      <c r="E51" s="27">
        <v>12</v>
      </c>
      <c r="F51" s="28">
        <v>62</v>
      </c>
      <c r="G51" s="186">
        <v>84</v>
      </c>
      <c r="H51" s="27" t="s">
        <v>160</v>
      </c>
      <c r="I51" s="28">
        <v>2900</v>
      </c>
      <c r="J51" s="38" t="s">
        <v>851</v>
      </c>
      <c r="K51" s="39">
        <v>43</v>
      </c>
      <c r="L51" s="42">
        <v>5.4007044000000004E-2</v>
      </c>
      <c r="M51" s="78"/>
      <c r="N51" s="78">
        <v>571.91399999999999</v>
      </c>
      <c r="O51" s="224"/>
      <c r="P51" s="224"/>
      <c r="Q51" s="225"/>
      <c r="R51" s="101"/>
    </row>
    <row r="52" spans="1:18" ht="15.75" thickBot="1">
      <c r="A52" s="2"/>
      <c r="B52" s="13" t="s">
        <v>2871</v>
      </c>
      <c r="C52" s="14">
        <v>4</v>
      </c>
      <c r="D52" s="15">
        <v>5.5</v>
      </c>
      <c r="E52" s="27">
        <v>12</v>
      </c>
      <c r="F52" s="28">
        <v>71</v>
      </c>
      <c r="G52" s="186">
        <v>96</v>
      </c>
      <c r="H52" s="27" t="s">
        <v>160</v>
      </c>
      <c r="I52" s="28">
        <v>2900</v>
      </c>
      <c r="J52" s="38" t="s">
        <v>851</v>
      </c>
      <c r="K52" s="39">
        <v>43</v>
      </c>
      <c r="L52" s="42">
        <v>5.6120680000000006E-2</v>
      </c>
      <c r="M52" s="78"/>
      <c r="N52" s="78">
        <v>581.19600000000003</v>
      </c>
      <c r="O52" s="224"/>
      <c r="P52" s="224"/>
      <c r="Q52" s="225"/>
      <c r="R52" s="101"/>
    </row>
    <row r="53" spans="1:18" ht="23.25" thickBot="1">
      <c r="A53" s="7"/>
      <c r="B53" s="63"/>
      <c r="C53" s="63"/>
      <c r="D53" s="63"/>
      <c r="E53" s="63"/>
      <c r="F53" s="63"/>
      <c r="G53" s="63"/>
      <c r="H53" s="63"/>
      <c r="I53" s="1"/>
      <c r="J53" s="63"/>
      <c r="K53" s="1"/>
      <c r="L53" s="1"/>
      <c r="M53" s="63"/>
      <c r="N53" s="63"/>
      <c r="O53" s="224"/>
      <c r="P53" s="224"/>
      <c r="Q53" s="225"/>
      <c r="R53" s="101"/>
    </row>
    <row r="54" spans="1:18" ht="15">
      <c r="B54" s="44" t="s">
        <v>1375</v>
      </c>
      <c r="C54" s="45" t="s">
        <v>2926</v>
      </c>
      <c r="D54" s="46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224"/>
      <c r="P54" s="224"/>
      <c r="Q54" s="225"/>
      <c r="R54" s="101"/>
    </row>
    <row r="55" spans="1:18" ht="15">
      <c r="B55" s="47" t="s">
        <v>1374</v>
      </c>
      <c r="C55" s="48" t="s">
        <v>1384</v>
      </c>
      <c r="D55" s="49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224"/>
      <c r="P55" s="224"/>
      <c r="Q55" s="225"/>
      <c r="R55" s="101"/>
    </row>
    <row r="56" spans="1:18" ht="15">
      <c r="B56" s="47" t="s">
        <v>1385</v>
      </c>
      <c r="C56" s="48" t="s">
        <v>2927</v>
      </c>
      <c r="D56" s="49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224"/>
      <c r="P56" s="224"/>
      <c r="Q56" s="225"/>
      <c r="R56" s="101"/>
    </row>
    <row r="57" spans="1:18" ht="15">
      <c r="B57" s="47" t="s">
        <v>2723</v>
      </c>
      <c r="C57" s="48" t="s">
        <v>2721</v>
      </c>
      <c r="D57" s="49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224"/>
      <c r="P57" s="224"/>
      <c r="Q57" s="225"/>
      <c r="R57" s="101"/>
    </row>
    <row r="58" spans="1:18" ht="15">
      <c r="B58" s="60" t="s">
        <v>2928</v>
      </c>
      <c r="C58" s="56" t="s">
        <v>2929</v>
      </c>
      <c r="D58" s="57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224"/>
      <c r="P58" s="224"/>
      <c r="Q58" s="225"/>
      <c r="R58" s="101"/>
    </row>
    <row r="59" spans="1:18" ht="15">
      <c r="A59" s="117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24"/>
      <c r="P59" s="224"/>
      <c r="Q59" s="225"/>
      <c r="R59" s="101"/>
    </row>
    <row r="60" spans="1:18" ht="27">
      <c r="A60" s="4"/>
      <c r="B60" s="61" t="s">
        <v>2925</v>
      </c>
      <c r="C60" s="62"/>
      <c r="D60" s="62"/>
      <c r="E60" s="62"/>
      <c r="F60" s="62"/>
      <c r="G60" s="62"/>
      <c r="H60" s="62"/>
      <c r="I60" s="17"/>
      <c r="J60" s="62"/>
      <c r="K60" s="29"/>
      <c r="L60" s="29"/>
      <c r="M60" s="62"/>
      <c r="N60" s="62"/>
      <c r="O60" s="224"/>
      <c r="P60" s="224"/>
      <c r="Q60" s="225"/>
      <c r="R60" s="101"/>
    </row>
    <row r="61" spans="1:18" ht="23.25" thickBot="1">
      <c r="A61" s="7"/>
      <c r="B61" s="63"/>
      <c r="C61" s="63"/>
      <c r="D61" s="63"/>
      <c r="E61" s="63"/>
      <c r="F61" s="63"/>
      <c r="G61" s="63"/>
      <c r="H61" s="63"/>
      <c r="I61" s="1"/>
      <c r="J61" s="63"/>
      <c r="K61" s="1"/>
      <c r="L61" s="1"/>
      <c r="M61" s="63"/>
      <c r="N61" s="63"/>
      <c r="O61" s="224"/>
      <c r="P61" s="224"/>
      <c r="Q61" s="225"/>
      <c r="R61" s="101"/>
    </row>
    <row r="62" spans="1:18" ht="15" customHeight="1">
      <c r="A62" s="3"/>
      <c r="B62" s="253" t="s">
        <v>2680</v>
      </c>
      <c r="C62" s="255" t="s">
        <v>2667</v>
      </c>
      <c r="D62" s="253"/>
      <c r="E62" s="257" t="s">
        <v>2730</v>
      </c>
      <c r="F62" s="258"/>
      <c r="G62" s="258"/>
      <c r="H62" s="18" t="s">
        <v>2738</v>
      </c>
      <c r="I62" s="19" t="s">
        <v>4</v>
      </c>
      <c r="J62" s="30" t="s">
        <v>2729</v>
      </c>
      <c r="K62" s="31" t="s">
        <v>2675</v>
      </c>
      <c r="L62" s="31" t="s">
        <v>2677</v>
      </c>
      <c r="M62" s="259" t="s">
        <v>2731</v>
      </c>
      <c r="N62" s="255"/>
      <c r="O62" s="224"/>
      <c r="P62" s="224"/>
      <c r="Q62" s="225"/>
      <c r="R62" s="101"/>
    </row>
    <row r="63" spans="1:18" ht="15">
      <c r="A63" s="9"/>
      <c r="B63" s="254"/>
      <c r="C63" s="256"/>
      <c r="D63" s="254"/>
      <c r="E63" s="20" t="s">
        <v>2736</v>
      </c>
      <c r="F63" s="33" t="s">
        <v>2735</v>
      </c>
      <c r="G63" s="10" t="s">
        <v>2737</v>
      </c>
      <c r="H63" s="21"/>
      <c r="I63" s="22"/>
      <c r="J63" s="32"/>
      <c r="K63" s="33"/>
      <c r="L63" s="33"/>
      <c r="M63" s="260" t="s">
        <v>2732</v>
      </c>
      <c r="N63" s="261"/>
      <c r="O63" s="224"/>
      <c r="P63" s="224"/>
      <c r="Q63" s="225"/>
      <c r="R63" s="101"/>
    </row>
    <row r="64" spans="1:18" ht="15.75" thickBot="1">
      <c r="A64" s="3"/>
      <c r="B64" s="11"/>
      <c r="C64" s="12" t="s">
        <v>2668</v>
      </c>
      <c r="D64" s="11" t="s">
        <v>2725</v>
      </c>
      <c r="E64" s="23" t="s">
        <v>2726</v>
      </c>
      <c r="F64" s="133" t="s">
        <v>2727</v>
      </c>
      <c r="G64" s="134" t="s">
        <v>2727</v>
      </c>
      <c r="H64" s="25" t="s">
        <v>2728</v>
      </c>
      <c r="I64" s="26" t="s">
        <v>2673</v>
      </c>
      <c r="J64" s="34"/>
      <c r="K64" s="35" t="s">
        <v>2676</v>
      </c>
      <c r="L64" s="196" t="s">
        <v>2678</v>
      </c>
      <c r="M64" s="37" t="s">
        <v>2733</v>
      </c>
      <c r="N64" s="43" t="s">
        <v>2734</v>
      </c>
      <c r="O64" s="224"/>
      <c r="P64" s="224"/>
      <c r="Q64" s="225"/>
      <c r="R64" s="101"/>
    </row>
    <row r="65" spans="1:18" ht="15.75" thickBot="1">
      <c r="A65" s="2"/>
      <c r="B65" s="13" t="s">
        <v>2872</v>
      </c>
      <c r="C65" s="14">
        <v>1.5</v>
      </c>
      <c r="D65" s="15">
        <v>2</v>
      </c>
      <c r="E65" s="27">
        <v>2</v>
      </c>
      <c r="F65" s="28">
        <v>60</v>
      </c>
      <c r="G65" s="186">
        <v>66</v>
      </c>
      <c r="H65" s="27" t="s">
        <v>23</v>
      </c>
      <c r="I65" s="28">
        <v>2900</v>
      </c>
      <c r="J65" s="38" t="s">
        <v>851</v>
      </c>
      <c r="K65" s="39">
        <v>34</v>
      </c>
      <c r="L65" s="42">
        <v>5.0901525000000003E-2</v>
      </c>
      <c r="M65" s="78">
        <v>500.51399999999995</v>
      </c>
      <c r="N65" s="78">
        <v>472.31100000000009</v>
      </c>
      <c r="O65" s="224"/>
      <c r="P65" s="224"/>
      <c r="Q65" s="225"/>
      <c r="R65" s="101"/>
    </row>
    <row r="66" spans="1:18" ht="15.75" thickBot="1">
      <c r="A66" s="2"/>
      <c r="B66" s="13" t="s">
        <v>2873</v>
      </c>
      <c r="C66" s="14">
        <v>1.5</v>
      </c>
      <c r="D66" s="15">
        <v>2</v>
      </c>
      <c r="E66" s="27">
        <v>2</v>
      </c>
      <c r="F66" s="28">
        <v>70</v>
      </c>
      <c r="G66" s="186">
        <v>77</v>
      </c>
      <c r="H66" s="27" t="s">
        <v>23</v>
      </c>
      <c r="I66" s="28">
        <v>2900</v>
      </c>
      <c r="J66" s="38" t="s">
        <v>851</v>
      </c>
      <c r="K66" s="39">
        <v>34</v>
      </c>
      <c r="L66" s="42">
        <v>5.2656750000000002E-2</v>
      </c>
      <c r="M66" s="78">
        <v>511.22399999999993</v>
      </c>
      <c r="N66" s="78">
        <v>482.30699999999996</v>
      </c>
      <c r="O66" s="224"/>
      <c r="P66" s="224"/>
      <c r="Q66" s="225"/>
      <c r="R66" s="101"/>
    </row>
    <row r="67" spans="1:18" ht="15.75" thickBot="1">
      <c r="A67" s="2"/>
      <c r="B67" s="13" t="s">
        <v>2874</v>
      </c>
      <c r="C67" s="14">
        <v>1.5</v>
      </c>
      <c r="D67" s="15">
        <v>2</v>
      </c>
      <c r="E67" s="27">
        <v>2</v>
      </c>
      <c r="F67" s="28">
        <v>80</v>
      </c>
      <c r="G67" s="186">
        <v>88</v>
      </c>
      <c r="H67" s="27" t="s">
        <v>23</v>
      </c>
      <c r="I67" s="28">
        <v>2900</v>
      </c>
      <c r="J67" s="38" t="s">
        <v>851</v>
      </c>
      <c r="K67" s="39">
        <v>35</v>
      </c>
      <c r="L67" s="42">
        <v>5.4411975000000008E-2</v>
      </c>
      <c r="M67" s="78">
        <v>521.93399999999997</v>
      </c>
      <c r="N67" s="78">
        <v>492.30300000000005</v>
      </c>
      <c r="O67" s="224"/>
      <c r="P67" s="224"/>
      <c r="Q67" s="225"/>
      <c r="R67" s="101"/>
    </row>
    <row r="68" spans="1:18" ht="15.75" thickBot="1">
      <c r="A68" s="2"/>
      <c r="B68" s="13" t="s">
        <v>2875</v>
      </c>
      <c r="C68" s="14">
        <v>2.2000000000000002</v>
      </c>
      <c r="D68" s="15">
        <v>3</v>
      </c>
      <c r="E68" s="27">
        <v>2</v>
      </c>
      <c r="F68" s="28">
        <v>90</v>
      </c>
      <c r="G68" s="186">
        <v>99</v>
      </c>
      <c r="H68" s="27" t="s">
        <v>23</v>
      </c>
      <c r="I68" s="28">
        <v>2900</v>
      </c>
      <c r="J68" s="38" t="s">
        <v>851</v>
      </c>
      <c r="K68" s="39">
        <v>39</v>
      </c>
      <c r="L68" s="42">
        <v>5.6167200000000007E-2</v>
      </c>
      <c r="M68" s="78">
        <v>557.27700000000004</v>
      </c>
      <c r="N68" s="78">
        <v>525.8610000000001</v>
      </c>
      <c r="O68" s="224"/>
      <c r="P68" s="224"/>
      <c r="Q68" s="225"/>
      <c r="R68" s="101"/>
    </row>
    <row r="69" spans="1:18" ht="15.75" thickBot="1">
      <c r="A69" s="2"/>
      <c r="B69" s="13" t="s">
        <v>2876</v>
      </c>
      <c r="C69" s="14">
        <v>2.2000000000000002</v>
      </c>
      <c r="D69" s="15">
        <v>3</v>
      </c>
      <c r="E69" s="27">
        <v>2</v>
      </c>
      <c r="F69" s="28">
        <v>100</v>
      </c>
      <c r="G69" s="186">
        <v>110</v>
      </c>
      <c r="H69" s="27" t="s">
        <v>23</v>
      </c>
      <c r="I69" s="28">
        <v>2900</v>
      </c>
      <c r="J69" s="38" t="s">
        <v>851</v>
      </c>
      <c r="K69" s="39">
        <v>39</v>
      </c>
      <c r="L69" s="42">
        <v>5.7922425E-2</v>
      </c>
      <c r="M69" s="78">
        <v>567.98700000000008</v>
      </c>
      <c r="N69" s="78">
        <v>535.85700000000008</v>
      </c>
      <c r="O69" s="224"/>
      <c r="P69" s="224"/>
      <c r="Q69" s="225"/>
      <c r="R69" s="101"/>
    </row>
    <row r="70" spans="1:18" ht="15.75" thickBot="1">
      <c r="A70" s="2"/>
      <c r="B70" s="13" t="s">
        <v>2877</v>
      </c>
      <c r="C70" s="14">
        <v>2.2000000000000002</v>
      </c>
      <c r="D70" s="15">
        <v>3</v>
      </c>
      <c r="E70" s="27">
        <v>2</v>
      </c>
      <c r="F70" s="28">
        <v>110</v>
      </c>
      <c r="G70" s="186">
        <v>121</v>
      </c>
      <c r="H70" s="27" t="s">
        <v>23</v>
      </c>
      <c r="I70" s="28">
        <v>2900</v>
      </c>
      <c r="J70" s="38" t="s">
        <v>851</v>
      </c>
      <c r="K70" s="39">
        <v>39</v>
      </c>
      <c r="L70" s="42">
        <v>5.9677649999999999E-2</v>
      </c>
      <c r="M70" s="78">
        <v>578.697</v>
      </c>
      <c r="N70" s="78">
        <v>545.85299999999995</v>
      </c>
      <c r="O70" s="224"/>
      <c r="P70" s="224"/>
      <c r="Q70" s="225"/>
      <c r="R70" s="101"/>
    </row>
    <row r="71" spans="1:18" ht="15.75" thickBot="1">
      <c r="A71" s="2"/>
      <c r="B71" s="13" t="s">
        <v>2878</v>
      </c>
      <c r="C71" s="14">
        <v>3</v>
      </c>
      <c r="D71" s="15">
        <v>4</v>
      </c>
      <c r="E71" s="27">
        <v>2</v>
      </c>
      <c r="F71" s="28">
        <v>120</v>
      </c>
      <c r="G71" s="186">
        <v>132</v>
      </c>
      <c r="H71" s="27" t="s">
        <v>23</v>
      </c>
      <c r="I71" s="28">
        <v>2900</v>
      </c>
      <c r="J71" s="38" t="s">
        <v>851</v>
      </c>
      <c r="K71" s="39">
        <v>43</v>
      </c>
      <c r="L71" s="42">
        <v>6.656601600000002E-2</v>
      </c>
      <c r="M71" s="78">
        <v>660.45</v>
      </c>
      <c r="N71" s="78">
        <v>622.96500000000003</v>
      </c>
      <c r="O71" s="224"/>
      <c r="P71" s="224"/>
      <c r="Q71" s="225"/>
      <c r="R71" s="101"/>
    </row>
    <row r="72" spans="1:18" ht="15.75" thickBot="1">
      <c r="A72" s="2"/>
      <c r="B72" s="13" t="s">
        <v>2879</v>
      </c>
      <c r="C72" s="14">
        <v>1.5</v>
      </c>
      <c r="D72" s="15">
        <v>2</v>
      </c>
      <c r="E72" s="27">
        <v>4</v>
      </c>
      <c r="F72" s="28">
        <v>50</v>
      </c>
      <c r="G72" s="186">
        <v>60</v>
      </c>
      <c r="H72" s="27" t="s">
        <v>23</v>
      </c>
      <c r="I72" s="28">
        <v>2900</v>
      </c>
      <c r="J72" s="38" t="s">
        <v>851</v>
      </c>
      <c r="K72" s="39">
        <v>35</v>
      </c>
      <c r="L72" s="42">
        <v>4.9146300000000004E-2</v>
      </c>
      <c r="M72" s="78">
        <v>489.80399999999992</v>
      </c>
      <c r="N72" s="78">
        <v>461.95800000000003</v>
      </c>
      <c r="O72" s="224"/>
      <c r="P72" s="224"/>
      <c r="Q72" s="225"/>
      <c r="R72" s="101"/>
    </row>
    <row r="73" spans="1:18" ht="15.75" thickBot="1">
      <c r="A73" s="2"/>
      <c r="B73" s="13" t="s">
        <v>2880</v>
      </c>
      <c r="C73" s="14">
        <v>1.5</v>
      </c>
      <c r="D73" s="15">
        <v>2</v>
      </c>
      <c r="E73" s="27">
        <v>4</v>
      </c>
      <c r="F73" s="28">
        <v>60</v>
      </c>
      <c r="G73" s="186">
        <v>72</v>
      </c>
      <c r="H73" s="27" t="s">
        <v>23</v>
      </c>
      <c r="I73" s="28">
        <v>2900</v>
      </c>
      <c r="J73" s="38" t="s">
        <v>851</v>
      </c>
      <c r="K73" s="39">
        <v>35</v>
      </c>
      <c r="L73" s="42">
        <v>5.0901525000000003E-2</v>
      </c>
      <c r="M73" s="78">
        <v>500.51399999999995</v>
      </c>
      <c r="N73" s="78">
        <v>472.31100000000009</v>
      </c>
      <c r="O73" s="224"/>
      <c r="P73" s="224"/>
      <c r="Q73" s="225"/>
      <c r="R73" s="101"/>
    </row>
    <row r="74" spans="1:18" ht="15.75" thickBot="1">
      <c r="A74" s="2"/>
      <c r="B74" s="13" t="s">
        <v>2881</v>
      </c>
      <c r="C74" s="14">
        <v>2.2000000000000002</v>
      </c>
      <c r="D74" s="15">
        <v>3</v>
      </c>
      <c r="E74" s="27">
        <v>4</v>
      </c>
      <c r="F74" s="28">
        <v>70</v>
      </c>
      <c r="G74" s="186">
        <v>84</v>
      </c>
      <c r="H74" s="27" t="s">
        <v>23</v>
      </c>
      <c r="I74" s="28">
        <v>2900</v>
      </c>
      <c r="J74" s="38" t="s">
        <v>851</v>
      </c>
      <c r="K74" s="39">
        <v>39</v>
      </c>
      <c r="L74" s="42">
        <v>5.2656750000000002E-2</v>
      </c>
      <c r="M74" s="78">
        <v>535.85700000000008</v>
      </c>
      <c r="N74" s="78">
        <v>505.512</v>
      </c>
      <c r="O74" s="224"/>
      <c r="P74" s="224"/>
      <c r="Q74" s="225"/>
      <c r="R74" s="101"/>
    </row>
    <row r="75" spans="1:18" ht="15.75" thickBot="1">
      <c r="A75" s="2"/>
      <c r="B75" s="13" t="s">
        <v>2882</v>
      </c>
      <c r="C75" s="14">
        <v>2.2000000000000002</v>
      </c>
      <c r="D75" s="15">
        <v>3</v>
      </c>
      <c r="E75" s="27">
        <v>4</v>
      </c>
      <c r="F75" s="28">
        <v>80</v>
      </c>
      <c r="G75" s="186">
        <v>96</v>
      </c>
      <c r="H75" s="27" t="s">
        <v>23</v>
      </c>
      <c r="I75" s="28">
        <v>2900</v>
      </c>
      <c r="J75" s="38" t="s">
        <v>851</v>
      </c>
      <c r="K75" s="39">
        <v>39</v>
      </c>
      <c r="L75" s="42">
        <v>5.4411975000000008E-2</v>
      </c>
      <c r="M75" s="78">
        <v>546.56700000000001</v>
      </c>
      <c r="N75" s="78">
        <v>515.50800000000004</v>
      </c>
      <c r="O75" s="224"/>
      <c r="P75" s="224"/>
      <c r="Q75" s="225"/>
      <c r="R75" s="101"/>
    </row>
    <row r="76" spans="1:18" ht="15.75" thickBot="1">
      <c r="A76" s="2"/>
      <c r="B76" s="13" t="s">
        <v>2883</v>
      </c>
      <c r="C76" s="14">
        <v>2.2000000000000002</v>
      </c>
      <c r="D76" s="15">
        <v>3</v>
      </c>
      <c r="E76" s="27">
        <v>4</v>
      </c>
      <c r="F76" s="28">
        <v>90</v>
      </c>
      <c r="G76" s="186">
        <v>108</v>
      </c>
      <c r="H76" s="27" t="s">
        <v>23</v>
      </c>
      <c r="I76" s="28">
        <v>2900</v>
      </c>
      <c r="J76" s="38" t="s">
        <v>851</v>
      </c>
      <c r="K76" s="39">
        <v>39</v>
      </c>
      <c r="L76" s="42">
        <v>5.6167200000000007E-2</v>
      </c>
      <c r="M76" s="78">
        <v>557.27700000000004</v>
      </c>
      <c r="N76" s="78">
        <v>525.8610000000001</v>
      </c>
      <c r="O76" s="224"/>
      <c r="P76" s="224"/>
      <c r="Q76" s="225"/>
      <c r="R76" s="101"/>
    </row>
    <row r="77" spans="1:18" ht="15.75" thickBot="1">
      <c r="A77" s="2"/>
      <c r="B77" s="13" t="s">
        <v>2884</v>
      </c>
      <c r="C77" s="14">
        <v>3</v>
      </c>
      <c r="D77" s="15">
        <v>4</v>
      </c>
      <c r="E77" s="27">
        <v>4</v>
      </c>
      <c r="F77" s="28">
        <v>100</v>
      </c>
      <c r="G77" s="186">
        <v>120</v>
      </c>
      <c r="H77" s="27" t="s">
        <v>23</v>
      </c>
      <c r="I77" s="28">
        <v>2900</v>
      </c>
      <c r="J77" s="38" t="s">
        <v>851</v>
      </c>
      <c r="K77" s="39">
        <v>43</v>
      </c>
      <c r="L77" s="42">
        <v>6.2975616000000012E-2</v>
      </c>
      <c r="M77" s="78">
        <v>638.673</v>
      </c>
      <c r="N77" s="78">
        <v>602.6160000000001</v>
      </c>
      <c r="O77" s="224"/>
      <c r="P77" s="224"/>
      <c r="Q77" s="225"/>
      <c r="R77" s="101"/>
    </row>
    <row r="78" spans="1:18" ht="15.75" thickBot="1">
      <c r="A78" s="2"/>
      <c r="B78" s="13" t="s">
        <v>2885</v>
      </c>
      <c r="C78" s="14">
        <v>3</v>
      </c>
      <c r="D78" s="15">
        <v>4</v>
      </c>
      <c r="E78" s="27">
        <v>4</v>
      </c>
      <c r="F78" s="28">
        <v>110</v>
      </c>
      <c r="G78" s="186">
        <v>132</v>
      </c>
      <c r="H78" s="27" t="s">
        <v>23</v>
      </c>
      <c r="I78" s="28">
        <v>2900</v>
      </c>
      <c r="J78" s="38" t="s">
        <v>851</v>
      </c>
      <c r="K78" s="39">
        <v>43</v>
      </c>
      <c r="L78" s="42">
        <v>6.4770816000000009E-2</v>
      </c>
      <c r="M78" s="78">
        <v>649.38300000000004</v>
      </c>
      <c r="N78" s="78">
        <v>612.61200000000008</v>
      </c>
      <c r="O78" s="224"/>
      <c r="P78" s="224"/>
      <c r="Q78" s="225"/>
      <c r="R78" s="101"/>
    </row>
    <row r="79" spans="1:18" ht="15.75" thickBot="1">
      <c r="A79" s="2"/>
      <c r="B79" s="13" t="s">
        <v>2886</v>
      </c>
      <c r="C79" s="14">
        <v>3</v>
      </c>
      <c r="D79" s="15">
        <v>4</v>
      </c>
      <c r="E79" s="27">
        <v>4</v>
      </c>
      <c r="F79" s="28">
        <v>120</v>
      </c>
      <c r="G79" s="186">
        <v>144</v>
      </c>
      <c r="H79" s="27" t="s">
        <v>23</v>
      </c>
      <c r="I79" s="28">
        <v>2900</v>
      </c>
      <c r="J79" s="38" t="s">
        <v>851</v>
      </c>
      <c r="K79" s="39">
        <v>43</v>
      </c>
      <c r="L79" s="42">
        <v>6.656601600000002E-2</v>
      </c>
      <c r="M79" s="78">
        <v>660.45</v>
      </c>
      <c r="N79" s="78">
        <v>622.96500000000003</v>
      </c>
      <c r="O79" s="224"/>
      <c r="P79" s="224"/>
      <c r="Q79" s="225"/>
      <c r="R79" s="101"/>
    </row>
    <row r="80" spans="1:18" ht="15.75" thickBot="1">
      <c r="A80" s="2"/>
      <c r="B80" s="13" t="s">
        <v>2887</v>
      </c>
      <c r="C80" s="14">
        <v>1.5</v>
      </c>
      <c r="D80" s="15">
        <v>2</v>
      </c>
      <c r="E80" s="27">
        <v>6</v>
      </c>
      <c r="F80" s="28">
        <v>50</v>
      </c>
      <c r="G80" s="186">
        <v>65</v>
      </c>
      <c r="H80" s="27" t="s">
        <v>107</v>
      </c>
      <c r="I80" s="28">
        <v>2900</v>
      </c>
      <c r="J80" s="38" t="s">
        <v>851</v>
      </c>
      <c r="K80" s="39">
        <v>35</v>
      </c>
      <c r="L80" s="42">
        <v>4.9146300000000004E-2</v>
      </c>
      <c r="M80" s="78">
        <v>489.80399999999992</v>
      </c>
      <c r="N80" s="78">
        <v>461.95800000000003</v>
      </c>
      <c r="O80" s="224"/>
      <c r="P80" s="224"/>
      <c r="Q80" s="225"/>
      <c r="R80" s="101"/>
    </row>
    <row r="81" spans="1:18" ht="15.75" thickBot="1">
      <c r="A81" s="2"/>
      <c r="B81" s="13" t="s">
        <v>2888</v>
      </c>
      <c r="C81" s="14">
        <v>2.2000000000000002</v>
      </c>
      <c r="D81" s="15">
        <v>3</v>
      </c>
      <c r="E81" s="27">
        <v>6</v>
      </c>
      <c r="F81" s="28">
        <v>60</v>
      </c>
      <c r="G81" s="186">
        <v>78</v>
      </c>
      <c r="H81" s="27" t="s">
        <v>107</v>
      </c>
      <c r="I81" s="28">
        <v>2900</v>
      </c>
      <c r="J81" s="38" t="s">
        <v>851</v>
      </c>
      <c r="K81" s="39">
        <v>39</v>
      </c>
      <c r="L81" s="42">
        <v>5.0901525000000003E-2</v>
      </c>
      <c r="M81" s="78">
        <v>525.14700000000005</v>
      </c>
      <c r="N81" s="78">
        <v>495.51600000000008</v>
      </c>
      <c r="O81" s="224"/>
      <c r="P81" s="224"/>
      <c r="Q81" s="225"/>
      <c r="R81" s="101"/>
    </row>
    <row r="82" spans="1:18" ht="15.75" thickBot="1">
      <c r="A82" s="2"/>
      <c r="B82" s="13" t="s">
        <v>2889</v>
      </c>
      <c r="C82" s="14">
        <v>2.2000000000000002</v>
      </c>
      <c r="D82" s="15">
        <v>3</v>
      </c>
      <c r="E82" s="27">
        <v>6</v>
      </c>
      <c r="F82" s="28">
        <v>70</v>
      </c>
      <c r="G82" s="186">
        <v>91</v>
      </c>
      <c r="H82" s="27" t="s">
        <v>107</v>
      </c>
      <c r="I82" s="28">
        <v>2900</v>
      </c>
      <c r="J82" s="38" t="s">
        <v>851</v>
      </c>
      <c r="K82" s="39">
        <v>39</v>
      </c>
      <c r="L82" s="42">
        <v>5.2656750000000002E-2</v>
      </c>
      <c r="M82" s="78">
        <v>535.85700000000008</v>
      </c>
      <c r="N82" s="78">
        <v>505.512</v>
      </c>
      <c r="O82" s="224"/>
      <c r="P82" s="224"/>
      <c r="Q82" s="225"/>
      <c r="R82" s="101"/>
    </row>
    <row r="83" spans="1:18" ht="15.75" thickBot="1">
      <c r="A83" s="2"/>
      <c r="B83" s="13" t="s">
        <v>2890</v>
      </c>
      <c r="C83" s="14">
        <v>3</v>
      </c>
      <c r="D83" s="15">
        <v>4</v>
      </c>
      <c r="E83" s="27">
        <v>6</v>
      </c>
      <c r="F83" s="28">
        <v>80</v>
      </c>
      <c r="G83" s="186">
        <v>104</v>
      </c>
      <c r="H83" s="27" t="s">
        <v>107</v>
      </c>
      <c r="I83" s="28">
        <v>2900</v>
      </c>
      <c r="J83" s="38" t="s">
        <v>851</v>
      </c>
      <c r="K83" s="39">
        <v>43</v>
      </c>
      <c r="L83" s="42">
        <v>5.9385216000000005E-2</v>
      </c>
      <c r="M83" s="78">
        <v>617.61</v>
      </c>
      <c r="N83" s="78">
        <v>582.62399999999991</v>
      </c>
      <c r="O83" s="224"/>
      <c r="P83" s="224"/>
      <c r="Q83" s="225"/>
      <c r="R83" s="101"/>
    </row>
    <row r="84" spans="1:18" ht="15.75" thickBot="1">
      <c r="A84" s="2"/>
      <c r="B84" s="13" t="s">
        <v>2891</v>
      </c>
      <c r="C84" s="14">
        <v>3</v>
      </c>
      <c r="D84" s="15">
        <v>4</v>
      </c>
      <c r="E84" s="27">
        <v>6</v>
      </c>
      <c r="F84" s="28">
        <v>90</v>
      </c>
      <c r="G84" s="186">
        <v>117</v>
      </c>
      <c r="H84" s="27" t="s">
        <v>107</v>
      </c>
      <c r="I84" s="28">
        <v>2900</v>
      </c>
      <c r="J84" s="38" t="s">
        <v>851</v>
      </c>
      <c r="K84" s="39">
        <v>43</v>
      </c>
      <c r="L84" s="42">
        <v>6.1180416000000008E-2</v>
      </c>
      <c r="M84" s="78">
        <v>628.32000000000005</v>
      </c>
      <c r="N84" s="78">
        <v>592.62</v>
      </c>
      <c r="O84" s="224"/>
      <c r="P84" s="224"/>
      <c r="Q84" s="225"/>
      <c r="R84" s="101"/>
    </row>
    <row r="85" spans="1:18" ht="15.75" thickBot="1">
      <c r="A85" s="2"/>
      <c r="B85" s="13" t="s">
        <v>2892</v>
      </c>
      <c r="C85" s="14">
        <v>4</v>
      </c>
      <c r="D85" s="15">
        <v>5.5</v>
      </c>
      <c r="E85" s="27">
        <v>6</v>
      </c>
      <c r="F85" s="28">
        <v>100</v>
      </c>
      <c r="G85" s="186">
        <v>130</v>
      </c>
      <c r="H85" s="27" t="s">
        <v>107</v>
      </c>
      <c r="I85" s="28">
        <v>2900</v>
      </c>
      <c r="J85" s="38" t="s">
        <v>851</v>
      </c>
      <c r="K85" s="39">
        <v>49</v>
      </c>
      <c r="L85" s="42">
        <v>6.2975616000000012E-2</v>
      </c>
      <c r="M85" s="78"/>
      <c r="N85" s="78">
        <v>669.73200000000008</v>
      </c>
      <c r="O85" s="224"/>
      <c r="P85" s="224"/>
      <c r="Q85" s="225"/>
      <c r="R85" s="101"/>
    </row>
    <row r="86" spans="1:18" ht="15.75" thickBot="1">
      <c r="A86" s="2"/>
      <c r="B86" s="13" t="s">
        <v>2893</v>
      </c>
      <c r="C86" s="14">
        <v>4</v>
      </c>
      <c r="D86" s="15">
        <v>5.5</v>
      </c>
      <c r="E86" s="27">
        <v>6</v>
      </c>
      <c r="F86" s="28">
        <v>110</v>
      </c>
      <c r="G86" s="186">
        <v>143</v>
      </c>
      <c r="H86" s="27" t="s">
        <v>107</v>
      </c>
      <c r="I86" s="28">
        <v>2900</v>
      </c>
      <c r="J86" s="38" t="s">
        <v>851</v>
      </c>
      <c r="K86" s="39">
        <v>50</v>
      </c>
      <c r="L86" s="42">
        <v>6.4770816000000009E-2</v>
      </c>
      <c r="M86" s="78"/>
      <c r="N86" s="78">
        <v>679.72799999999995</v>
      </c>
      <c r="O86" s="224"/>
      <c r="P86" s="224"/>
      <c r="Q86" s="225"/>
      <c r="R86" s="101"/>
    </row>
    <row r="87" spans="1:18" ht="15.75" thickBot="1">
      <c r="A87" s="2"/>
      <c r="B87" s="13" t="s">
        <v>2894</v>
      </c>
      <c r="C87" s="14">
        <v>4</v>
      </c>
      <c r="D87" s="15">
        <v>5.5</v>
      </c>
      <c r="E87" s="27">
        <v>6</v>
      </c>
      <c r="F87" s="28">
        <v>120</v>
      </c>
      <c r="G87" s="186">
        <v>156</v>
      </c>
      <c r="H87" s="27" t="s">
        <v>107</v>
      </c>
      <c r="I87" s="28">
        <v>2900</v>
      </c>
      <c r="J87" s="38" t="s">
        <v>851</v>
      </c>
      <c r="K87" s="39">
        <v>50</v>
      </c>
      <c r="L87" s="42">
        <v>6.656601600000002E-2</v>
      </c>
      <c r="M87" s="78"/>
      <c r="N87" s="78">
        <v>689.72399999999993</v>
      </c>
      <c r="O87" s="224"/>
      <c r="P87" s="224"/>
      <c r="Q87" s="225"/>
      <c r="R87" s="101"/>
    </row>
    <row r="88" spans="1:18" ht="15.75" thickBot="1">
      <c r="A88" s="2"/>
      <c r="B88" s="13" t="s">
        <v>2895</v>
      </c>
      <c r="C88" s="14">
        <v>1.5</v>
      </c>
      <c r="D88" s="15">
        <v>2</v>
      </c>
      <c r="E88" s="27">
        <v>8</v>
      </c>
      <c r="F88" s="28">
        <v>40</v>
      </c>
      <c r="G88" s="186">
        <v>47</v>
      </c>
      <c r="H88" s="27" t="s">
        <v>136</v>
      </c>
      <c r="I88" s="28">
        <v>2900</v>
      </c>
      <c r="J88" s="38" t="s">
        <v>851</v>
      </c>
      <c r="K88" s="39">
        <v>35</v>
      </c>
      <c r="L88" s="42">
        <v>4.8514418999999996E-2</v>
      </c>
      <c r="M88" s="78">
        <v>479.09399999999994</v>
      </c>
      <c r="N88" s="78">
        <v>451.96199999999999</v>
      </c>
      <c r="O88" s="224"/>
      <c r="P88" s="224"/>
      <c r="Q88" s="225"/>
      <c r="R88" s="101"/>
    </row>
    <row r="89" spans="1:18" ht="15.75" thickBot="1">
      <c r="A89" s="2"/>
      <c r="B89" s="13" t="s">
        <v>2896</v>
      </c>
      <c r="C89" s="14">
        <v>2.2000000000000002</v>
      </c>
      <c r="D89" s="15">
        <v>3</v>
      </c>
      <c r="E89" s="27">
        <v>8</v>
      </c>
      <c r="F89" s="28">
        <v>50</v>
      </c>
      <c r="G89" s="186">
        <v>58</v>
      </c>
      <c r="H89" s="27" t="s">
        <v>136</v>
      </c>
      <c r="I89" s="28">
        <v>2900</v>
      </c>
      <c r="J89" s="38" t="s">
        <v>851</v>
      </c>
      <c r="K89" s="39">
        <v>39</v>
      </c>
      <c r="L89" s="42">
        <v>5.0550480000000002E-2</v>
      </c>
      <c r="M89" s="78">
        <v>514.79399999999998</v>
      </c>
      <c r="N89" s="78">
        <v>485.52</v>
      </c>
      <c r="O89" s="224"/>
      <c r="P89" s="224"/>
      <c r="Q89" s="225"/>
      <c r="R89" s="101"/>
    </row>
    <row r="90" spans="1:18" ht="15.75" thickBot="1">
      <c r="A90" s="2"/>
      <c r="B90" s="13" t="s">
        <v>2897</v>
      </c>
      <c r="C90" s="14">
        <v>3</v>
      </c>
      <c r="D90" s="15">
        <v>4</v>
      </c>
      <c r="E90" s="27">
        <v>8</v>
      </c>
      <c r="F90" s="28">
        <v>60</v>
      </c>
      <c r="G90" s="186">
        <v>70</v>
      </c>
      <c r="H90" s="27" t="s">
        <v>136</v>
      </c>
      <c r="I90" s="28">
        <v>2900</v>
      </c>
      <c r="J90" s="38" t="s">
        <v>851</v>
      </c>
      <c r="K90" s="39">
        <v>43</v>
      </c>
      <c r="L90" s="42">
        <v>5.7518208000000008E-2</v>
      </c>
      <c r="M90" s="78">
        <v>596.54700000000003</v>
      </c>
      <c r="N90" s="78">
        <v>562.63200000000006</v>
      </c>
      <c r="O90" s="224"/>
      <c r="P90" s="224"/>
      <c r="Q90" s="225"/>
      <c r="R90" s="101"/>
    </row>
    <row r="91" spans="1:18" ht="15.75" thickBot="1">
      <c r="A91" s="2"/>
      <c r="B91" s="13" t="s">
        <v>2898</v>
      </c>
      <c r="C91" s="14">
        <v>3</v>
      </c>
      <c r="D91" s="15">
        <v>4</v>
      </c>
      <c r="E91" s="27">
        <v>8</v>
      </c>
      <c r="F91" s="28">
        <v>70</v>
      </c>
      <c r="G91" s="186">
        <v>82</v>
      </c>
      <c r="H91" s="27" t="s">
        <v>136</v>
      </c>
      <c r="I91" s="28">
        <v>2900</v>
      </c>
      <c r="J91" s="38" t="s">
        <v>851</v>
      </c>
      <c r="K91" s="39">
        <v>43</v>
      </c>
      <c r="L91" s="42">
        <v>5.9600640000000003E-2</v>
      </c>
      <c r="M91" s="78">
        <v>606.9</v>
      </c>
      <c r="N91" s="78">
        <v>572.62800000000004</v>
      </c>
      <c r="O91" s="224"/>
      <c r="P91" s="224"/>
      <c r="Q91" s="225"/>
      <c r="R91" s="101"/>
    </row>
    <row r="92" spans="1:18" ht="15.75" thickBot="1">
      <c r="A92" s="2"/>
      <c r="B92" s="13" t="s">
        <v>2899</v>
      </c>
      <c r="C92" s="14">
        <v>4</v>
      </c>
      <c r="D92" s="15">
        <v>5.5</v>
      </c>
      <c r="E92" s="27">
        <v>8</v>
      </c>
      <c r="F92" s="28">
        <v>80</v>
      </c>
      <c r="G92" s="186">
        <v>93</v>
      </c>
      <c r="H92" s="27" t="s">
        <v>136</v>
      </c>
      <c r="I92" s="28">
        <v>2900</v>
      </c>
      <c r="J92" s="38" t="s">
        <v>851</v>
      </c>
      <c r="K92" s="39">
        <v>48</v>
      </c>
      <c r="L92" s="42">
        <v>6.1683072000000005E-2</v>
      </c>
      <c r="M92" s="78"/>
      <c r="N92" s="78">
        <v>649.74</v>
      </c>
      <c r="O92" s="224"/>
      <c r="P92" s="224"/>
      <c r="Q92" s="225"/>
      <c r="R92" s="101"/>
    </row>
    <row r="93" spans="1:18" ht="15.75" thickBot="1">
      <c r="A93" s="2"/>
      <c r="B93" s="13" t="s">
        <v>2900</v>
      </c>
      <c r="C93" s="14">
        <v>4</v>
      </c>
      <c r="D93" s="15">
        <v>5.5</v>
      </c>
      <c r="E93" s="27">
        <v>8</v>
      </c>
      <c r="F93" s="28">
        <v>90</v>
      </c>
      <c r="G93" s="186">
        <v>105</v>
      </c>
      <c r="H93" s="27" t="s">
        <v>136</v>
      </c>
      <c r="I93" s="28">
        <v>2900</v>
      </c>
      <c r="J93" s="38" t="s">
        <v>851</v>
      </c>
      <c r="K93" s="39">
        <v>49</v>
      </c>
      <c r="L93" s="42">
        <v>6.3765504000000001E-2</v>
      </c>
      <c r="M93" s="78"/>
      <c r="N93" s="78">
        <v>659.7360000000001</v>
      </c>
      <c r="O93" s="224"/>
      <c r="P93" s="224"/>
      <c r="Q93" s="225"/>
      <c r="R93" s="101"/>
    </row>
    <row r="94" spans="1:18" ht="15.75" thickBot="1">
      <c r="A94" s="2"/>
      <c r="B94" s="13" t="s">
        <v>2901</v>
      </c>
      <c r="C94" s="14">
        <v>5.5</v>
      </c>
      <c r="D94" s="15">
        <v>7.5</v>
      </c>
      <c r="E94" s="27">
        <v>8</v>
      </c>
      <c r="F94" s="28">
        <v>100</v>
      </c>
      <c r="G94" s="186">
        <v>117</v>
      </c>
      <c r="H94" s="27" t="s">
        <v>136</v>
      </c>
      <c r="I94" s="28">
        <v>2900</v>
      </c>
      <c r="J94" s="38" t="s">
        <v>851</v>
      </c>
      <c r="K94" s="39">
        <v>56</v>
      </c>
      <c r="L94" s="42">
        <v>8.4465524E-2</v>
      </c>
      <c r="M94" s="78"/>
      <c r="N94" s="78">
        <v>803.60700000000008</v>
      </c>
      <c r="O94" s="224"/>
      <c r="P94" s="224"/>
      <c r="Q94" s="225"/>
      <c r="R94" s="101"/>
    </row>
    <row r="95" spans="1:18" ht="15.75" thickBot="1">
      <c r="A95" s="2"/>
      <c r="B95" s="13" t="s">
        <v>2902</v>
      </c>
      <c r="C95" s="14">
        <v>5.5</v>
      </c>
      <c r="D95" s="15">
        <v>7.5</v>
      </c>
      <c r="E95" s="27">
        <v>8</v>
      </c>
      <c r="F95" s="28">
        <v>110</v>
      </c>
      <c r="G95" s="186">
        <v>128</v>
      </c>
      <c r="H95" s="27" t="s">
        <v>136</v>
      </c>
      <c r="I95" s="28">
        <v>2900</v>
      </c>
      <c r="J95" s="38" t="s">
        <v>851</v>
      </c>
      <c r="K95" s="39">
        <v>56</v>
      </c>
      <c r="L95" s="42">
        <v>8.7011781999999982E-2</v>
      </c>
      <c r="M95" s="78"/>
      <c r="N95" s="78">
        <v>813.60299999999995</v>
      </c>
      <c r="O95" s="224"/>
      <c r="P95" s="224"/>
      <c r="Q95" s="225"/>
      <c r="R95" s="101"/>
    </row>
    <row r="96" spans="1:18" ht="15.75" thickBot="1">
      <c r="A96" s="2"/>
      <c r="B96" s="13" t="s">
        <v>2903</v>
      </c>
      <c r="C96" s="14">
        <v>5.5</v>
      </c>
      <c r="D96" s="15">
        <v>7.5</v>
      </c>
      <c r="E96" s="27">
        <v>8</v>
      </c>
      <c r="F96" s="28">
        <v>120</v>
      </c>
      <c r="G96" s="186">
        <v>140</v>
      </c>
      <c r="H96" s="27" t="s">
        <v>136</v>
      </c>
      <c r="I96" s="28">
        <v>2900</v>
      </c>
      <c r="J96" s="38" t="s">
        <v>851</v>
      </c>
      <c r="K96" s="39">
        <v>57</v>
      </c>
      <c r="L96" s="42">
        <v>8.9558039999999992E-2</v>
      </c>
      <c r="M96" s="78"/>
      <c r="N96" s="78">
        <v>823.59899999999993</v>
      </c>
      <c r="O96" s="224"/>
      <c r="P96" s="224"/>
      <c r="Q96" s="225"/>
      <c r="R96" s="101"/>
    </row>
    <row r="97" spans="1:18" ht="15.75" thickBot="1">
      <c r="A97" s="2"/>
      <c r="B97" s="13" t="s">
        <v>2904</v>
      </c>
      <c r="C97" s="14">
        <v>1.5</v>
      </c>
      <c r="D97" s="15">
        <v>2</v>
      </c>
      <c r="E97" s="27">
        <v>10</v>
      </c>
      <c r="F97" s="28">
        <v>30</v>
      </c>
      <c r="G97" s="186">
        <v>36</v>
      </c>
      <c r="H97" s="27" t="s">
        <v>160</v>
      </c>
      <c r="I97" s="28">
        <v>2900</v>
      </c>
      <c r="J97" s="38" t="s">
        <v>851</v>
      </c>
      <c r="K97" s="39">
        <v>35</v>
      </c>
      <c r="L97" s="42">
        <v>4.6478358000000011E-2</v>
      </c>
      <c r="M97" s="78">
        <v>468.38399999999996</v>
      </c>
      <c r="N97" s="78">
        <v>441.96600000000001</v>
      </c>
      <c r="O97" s="224"/>
      <c r="P97" s="224"/>
      <c r="Q97" s="225"/>
      <c r="R97" s="101"/>
    </row>
    <row r="98" spans="1:18" ht="15.75" thickBot="1">
      <c r="A98" s="2"/>
      <c r="B98" s="13" t="s">
        <v>2905</v>
      </c>
      <c r="C98" s="14">
        <v>2.2000000000000002</v>
      </c>
      <c r="D98" s="15">
        <v>3</v>
      </c>
      <c r="E98" s="27">
        <v>10</v>
      </c>
      <c r="F98" s="28">
        <v>40</v>
      </c>
      <c r="G98" s="186">
        <v>48</v>
      </c>
      <c r="H98" s="27" t="s">
        <v>160</v>
      </c>
      <c r="I98" s="28">
        <v>2900</v>
      </c>
      <c r="J98" s="38" t="s">
        <v>851</v>
      </c>
      <c r="K98" s="39">
        <v>39</v>
      </c>
      <c r="L98" s="42">
        <v>4.8514418999999996E-2</v>
      </c>
      <c r="M98" s="78">
        <v>504.08399999999995</v>
      </c>
      <c r="N98" s="78">
        <v>475.52399999999994</v>
      </c>
      <c r="O98" s="224"/>
      <c r="P98" s="224"/>
      <c r="Q98" s="225"/>
      <c r="R98" s="101"/>
    </row>
    <row r="99" spans="1:18" ht="15.75" thickBot="1">
      <c r="A99" s="2"/>
      <c r="B99" s="13" t="s">
        <v>2906</v>
      </c>
      <c r="C99" s="14">
        <v>3</v>
      </c>
      <c r="D99" s="15">
        <v>4</v>
      </c>
      <c r="E99" s="27">
        <v>10</v>
      </c>
      <c r="F99" s="28">
        <v>50</v>
      </c>
      <c r="G99" s="186">
        <v>60</v>
      </c>
      <c r="H99" s="27" t="s">
        <v>160</v>
      </c>
      <c r="I99" s="28">
        <v>2900</v>
      </c>
      <c r="J99" s="38" t="s">
        <v>851</v>
      </c>
      <c r="K99" s="39">
        <v>43</v>
      </c>
      <c r="L99" s="42">
        <v>5.5435776000000006E-2</v>
      </c>
      <c r="M99" s="78">
        <v>585.83699999999999</v>
      </c>
      <c r="N99" s="78">
        <v>552.63600000000008</v>
      </c>
      <c r="O99" s="224"/>
      <c r="P99" s="224"/>
      <c r="Q99" s="225"/>
      <c r="R99" s="101"/>
    </row>
    <row r="100" spans="1:18" ht="15.75" thickBot="1">
      <c r="A100" s="2"/>
      <c r="B100" s="13" t="s">
        <v>2907</v>
      </c>
      <c r="C100" s="14">
        <v>3</v>
      </c>
      <c r="D100" s="15">
        <v>4</v>
      </c>
      <c r="E100" s="27">
        <v>10</v>
      </c>
      <c r="F100" s="28">
        <v>60</v>
      </c>
      <c r="G100" s="186">
        <v>72</v>
      </c>
      <c r="H100" s="27" t="s">
        <v>160</v>
      </c>
      <c r="I100" s="28">
        <v>2900</v>
      </c>
      <c r="J100" s="38" t="s">
        <v>851</v>
      </c>
      <c r="K100" s="39">
        <v>43</v>
      </c>
      <c r="L100" s="42">
        <v>5.7518208000000008E-2</v>
      </c>
      <c r="M100" s="78">
        <v>596.54700000000003</v>
      </c>
      <c r="N100" s="78">
        <v>562.63200000000006</v>
      </c>
      <c r="O100" s="224"/>
      <c r="P100" s="224"/>
      <c r="Q100" s="225"/>
      <c r="R100" s="101"/>
    </row>
    <row r="101" spans="1:18" ht="15.75" thickBot="1">
      <c r="A101" s="2"/>
      <c r="B101" s="13" t="s">
        <v>2908</v>
      </c>
      <c r="C101" s="14">
        <v>4</v>
      </c>
      <c r="D101" s="15">
        <v>5.5</v>
      </c>
      <c r="E101" s="27">
        <v>10</v>
      </c>
      <c r="F101" s="28">
        <v>70</v>
      </c>
      <c r="G101" s="186">
        <v>84</v>
      </c>
      <c r="H101" s="27" t="s">
        <v>160</v>
      </c>
      <c r="I101" s="28">
        <v>2900</v>
      </c>
      <c r="J101" s="38" t="s">
        <v>851</v>
      </c>
      <c r="K101" s="39">
        <v>48</v>
      </c>
      <c r="L101" s="42">
        <v>5.9600640000000003E-2</v>
      </c>
      <c r="M101" s="78"/>
      <c r="N101" s="78">
        <v>639.38700000000006</v>
      </c>
      <c r="O101" s="224"/>
      <c r="P101" s="224"/>
      <c r="Q101" s="225"/>
      <c r="R101" s="101"/>
    </row>
    <row r="102" spans="1:18" ht="15.75" thickBot="1">
      <c r="A102" s="2"/>
      <c r="B102" s="13" t="s">
        <v>2909</v>
      </c>
      <c r="C102" s="14">
        <v>4</v>
      </c>
      <c r="D102" s="15">
        <v>5.5</v>
      </c>
      <c r="E102" s="27">
        <v>10</v>
      </c>
      <c r="F102" s="28">
        <v>80</v>
      </c>
      <c r="G102" s="186">
        <v>96</v>
      </c>
      <c r="H102" s="27" t="s">
        <v>160</v>
      </c>
      <c r="I102" s="28">
        <v>2900</v>
      </c>
      <c r="J102" s="38" t="s">
        <v>851</v>
      </c>
      <c r="K102" s="39">
        <v>49</v>
      </c>
      <c r="L102" s="42">
        <v>6.1683072000000005E-2</v>
      </c>
      <c r="M102" s="78"/>
      <c r="N102" s="78">
        <v>649.74</v>
      </c>
      <c r="O102" s="224"/>
      <c r="P102" s="224"/>
      <c r="Q102" s="225"/>
      <c r="R102" s="101"/>
    </row>
    <row r="103" spans="1:18" ht="15.75" thickBot="1">
      <c r="A103" s="2"/>
      <c r="B103" s="13" t="s">
        <v>2910</v>
      </c>
      <c r="C103" s="14">
        <v>5.5</v>
      </c>
      <c r="D103" s="15">
        <v>7.5</v>
      </c>
      <c r="E103" s="27">
        <v>10</v>
      </c>
      <c r="F103" s="28">
        <v>90</v>
      </c>
      <c r="G103" s="186">
        <v>108</v>
      </c>
      <c r="H103" s="27" t="s">
        <v>160</v>
      </c>
      <c r="I103" s="28">
        <v>2900</v>
      </c>
      <c r="J103" s="38" t="s">
        <v>851</v>
      </c>
      <c r="K103" s="39">
        <v>55</v>
      </c>
      <c r="L103" s="42">
        <v>8.1919266000000004E-2</v>
      </c>
      <c r="M103" s="78"/>
      <c r="N103" s="78">
        <v>793.6110000000001</v>
      </c>
      <c r="O103" s="224"/>
      <c r="P103" s="224"/>
      <c r="Q103" s="225"/>
      <c r="R103" s="101"/>
    </row>
    <row r="104" spans="1:18" ht="15.75" thickBot="1">
      <c r="A104" s="2"/>
      <c r="B104" s="13" t="s">
        <v>2911</v>
      </c>
      <c r="C104" s="14">
        <v>5.5</v>
      </c>
      <c r="D104" s="15">
        <v>7.5</v>
      </c>
      <c r="E104" s="27">
        <v>10</v>
      </c>
      <c r="F104" s="28">
        <v>100</v>
      </c>
      <c r="G104" s="186">
        <v>120</v>
      </c>
      <c r="H104" s="27" t="s">
        <v>160</v>
      </c>
      <c r="I104" s="28">
        <v>2900</v>
      </c>
      <c r="J104" s="38" t="s">
        <v>851</v>
      </c>
      <c r="K104" s="39">
        <v>56</v>
      </c>
      <c r="L104" s="42">
        <v>8.4465524E-2</v>
      </c>
      <c r="M104" s="78"/>
      <c r="N104" s="78">
        <v>803.60700000000008</v>
      </c>
      <c r="O104" s="224"/>
      <c r="P104" s="224"/>
      <c r="Q104" s="225"/>
      <c r="R104" s="101"/>
    </row>
    <row r="105" spans="1:18" ht="15.75" thickBot="1">
      <c r="A105" s="2"/>
      <c r="B105" s="13" t="s">
        <v>2912</v>
      </c>
      <c r="C105" s="14">
        <v>7.5</v>
      </c>
      <c r="D105" s="15">
        <v>10</v>
      </c>
      <c r="E105" s="27">
        <v>10</v>
      </c>
      <c r="F105" s="28">
        <v>110</v>
      </c>
      <c r="G105" s="186">
        <v>132</v>
      </c>
      <c r="H105" s="27" t="s">
        <v>160</v>
      </c>
      <c r="I105" s="28">
        <v>2900</v>
      </c>
      <c r="J105" s="38" t="s">
        <v>851</v>
      </c>
      <c r="K105" s="39">
        <v>62</v>
      </c>
      <c r="L105" s="42">
        <v>8.7011781999999982E-2</v>
      </c>
      <c r="M105" s="78"/>
      <c r="N105" s="78">
        <v>857.15700000000004</v>
      </c>
      <c r="O105" s="224"/>
      <c r="P105" s="224"/>
      <c r="Q105" s="225"/>
      <c r="R105" s="101"/>
    </row>
    <row r="106" spans="1:18" ht="15.75" thickBot="1">
      <c r="A106" s="2"/>
      <c r="B106" s="13" t="s">
        <v>2913</v>
      </c>
      <c r="C106" s="14">
        <v>7.5</v>
      </c>
      <c r="D106" s="15">
        <v>10</v>
      </c>
      <c r="E106" s="27">
        <v>10</v>
      </c>
      <c r="F106" s="28">
        <v>120</v>
      </c>
      <c r="G106" s="186">
        <v>145</v>
      </c>
      <c r="H106" s="27" t="s">
        <v>160</v>
      </c>
      <c r="I106" s="28">
        <v>2900</v>
      </c>
      <c r="J106" s="38" t="s">
        <v>851</v>
      </c>
      <c r="K106" s="39">
        <v>63</v>
      </c>
      <c r="L106" s="42">
        <v>8.9558039999999992E-2</v>
      </c>
      <c r="M106" s="78"/>
      <c r="N106" s="78">
        <v>867.15300000000002</v>
      </c>
      <c r="O106" s="224"/>
      <c r="P106" s="224"/>
      <c r="Q106" s="225"/>
      <c r="R106" s="101"/>
    </row>
    <row r="107" spans="1:18" ht="15.75" thickBot="1">
      <c r="A107" s="2"/>
      <c r="B107" s="13" t="s">
        <v>2914</v>
      </c>
      <c r="C107" s="14">
        <v>1.5</v>
      </c>
      <c r="D107" s="15">
        <v>2</v>
      </c>
      <c r="E107" s="27">
        <v>12</v>
      </c>
      <c r="F107" s="28">
        <v>27</v>
      </c>
      <c r="G107" s="186">
        <v>36</v>
      </c>
      <c r="H107" s="27" t="s">
        <v>160</v>
      </c>
      <c r="I107" s="28">
        <v>2900</v>
      </c>
      <c r="J107" s="38" t="s">
        <v>851</v>
      </c>
      <c r="K107" s="39">
        <v>35</v>
      </c>
      <c r="L107" s="42">
        <v>4.6478358000000011E-2</v>
      </c>
      <c r="M107" s="78">
        <v>468.38399999999996</v>
      </c>
      <c r="N107" s="78">
        <v>441.96600000000001</v>
      </c>
      <c r="O107" s="224"/>
      <c r="P107" s="224"/>
      <c r="Q107" s="225"/>
      <c r="R107" s="101"/>
    </row>
    <row r="108" spans="1:18" ht="15.75" thickBot="1">
      <c r="A108" s="2"/>
      <c r="B108" s="13" t="s">
        <v>2915</v>
      </c>
      <c r="C108" s="14">
        <v>2.2000000000000002</v>
      </c>
      <c r="D108" s="15">
        <v>3</v>
      </c>
      <c r="E108" s="27">
        <v>12</v>
      </c>
      <c r="F108" s="28">
        <v>36</v>
      </c>
      <c r="G108" s="186">
        <v>48</v>
      </c>
      <c r="H108" s="27" t="s">
        <v>160</v>
      </c>
      <c r="I108" s="28">
        <v>2900</v>
      </c>
      <c r="J108" s="38" t="s">
        <v>851</v>
      </c>
      <c r="K108" s="39">
        <v>39</v>
      </c>
      <c r="L108" s="42">
        <v>4.8514418999999996E-2</v>
      </c>
      <c r="M108" s="78">
        <v>504.08399999999995</v>
      </c>
      <c r="N108" s="78">
        <v>475.52399999999994</v>
      </c>
      <c r="O108" s="224"/>
      <c r="P108" s="224"/>
      <c r="Q108" s="225"/>
      <c r="R108" s="101"/>
    </row>
    <row r="109" spans="1:18" ht="15.75" thickBot="1">
      <c r="A109" s="2"/>
      <c r="B109" s="13" t="s">
        <v>2916</v>
      </c>
      <c r="C109" s="14">
        <v>3</v>
      </c>
      <c r="D109" s="15">
        <v>4</v>
      </c>
      <c r="E109" s="27">
        <v>12</v>
      </c>
      <c r="F109" s="28">
        <v>44</v>
      </c>
      <c r="G109" s="186">
        <v>60</v>
      </c>
      <c r="H109" s="27" t="s">
        <v>160</v>
      </c>
      <c r="I109" s="28">
        <v>2900</v>
      </c>
      <c r="J109" s="38" t="s">
        <v>851</v>
      </c>
      <c r="K109" s="39">
        <v>43</v>
      </c>
      <c r="L109" s="42">
        <v>5.5435776000000006E-2</v>
      </c>
      <c r="M109" s="78">
        <v>585.83699999999999</v>
      </c>
      <c r="N109" s="78">
        <v>552.63600000000008</v>
      </c>
      <c r="O109" s="224"/>
      <c r="P109" s="224"/>
      <c r="Q109" s="225"/>
      <c r="R109" s="101"/>
    </row>
    <row r="110" spans="1:18" ht="15.75" thickBot="1">
      <c r="A110" s="2"/>
      <c r="B110" s="13" t="s">
        <v>2917</v>
      </c>
      <c r="C110" s="14">
        <v>3</v>
      </c>
      <c r="D110" s="15">
        <v>4</v>
      </c>
      <c r="E110" s="27">
        <v>12</v>
      </c>
      <c r="F110" s="28">
        <v>53</v>
      </c>
      <c r="G110" s="186">
        <v>72</v>
      </c>
      <c r="H110" s="27" t="s">
        <v>160</v>
      </c>
      <c r="I110" s="28">
        <v>2900</v>
      </c>
      <c r="J110" s="38" t="s">
        <v>851</v>
      </c>
      <c r="K110" s="39">
        <v>43</v>
      </c>
      <c r="L110" s="42">
        <v>5.7518208000000008E-2</v>
      </c>
      <c r="M110" s="78">
        <v>596.54700000000003</v>
      </c>
      <c r="N110" s="78">
        <v>562.63200000000006</v>
      </c>
      <c r="O110" s="224"/>
      <c r="P110" s="224"/>
      <c r="Q110" s="225"/>
      <c r="R110" s="101"/>
    </row>
    <row r="111" spans="1:18" ht="15.75" thickBot="1">
      <c r="A111" s="2"/>
      <c r="B111" s="13" t="s">
        <v>2918</v>
      </c>
      <c r="C111" s="14">
        <v>4</v>
      </c>
      <c r="D111" s="15">
        <v>5.5</v>
      </c>
      <c r="E111" s="27">
        <v>12</v>
      </c>
      <c r="F111" s="28">
        <v>62</v>
      </c>
      <c r="G111" s="186">
        <v>84</v>
      </c>
      <c r="H111" s="27" t="s">
        <v>160</v>
      </c>
      <c r="I111" s="28">
        <v>2900</v>
      </c>
      <c r="J111" s="38" t="s">
        <v>851</v>
      </c>
      <c r="K111" s="39">
        <v>48</v>
      </c>
      <c r="L111" s="42">
        <v>5.9600640000000003E-2</v>
      </c>
      <c r="M111" s="78"/>
      <c r="N111" s="78">
        <v>639.38700000000006</v>
      </c>
      <c r="O111" s="224"/>
      <c r="P111" s="224"/>
      <c r="Q111" s="225"/>
      <c r="R111" s="101"/>
    </row>
    <row r="112" spans="1:18" ht="15.75" thickBot="1">
      <c r="A112" s="2"/>
      <c r="B112" s="13" t="s">
        <v>2919</v>
      </c>
      <c r="C112" s="14">
        <v>4</v>
      </c>
      <c r="D112" s="15">
        <v>5.5</v>
      </c>
      <c r="E112" s="27">
        <v>12</v>
      </c>
      <c r="F112" s="28">
        <v>71</v>
      </c>
      <c r="G112" s="186">
        <v>96</v>
      </c>
      <c r="H112" s="27" t="s">
        <v>160</v>
      </c>
      <c r="I112" s="28">
        <v>2900</v>
      </c>
      <c r="J112" s="38" t="s">
        <v>851</v>
      </c>
      <c r="K112" s="39">
        <v>49</v>
      </c>
      <c r="L112" s="42">
        <v>6.1683072000000005E-2</v>
      </c>
      <c r="M112" s="78"/>
      <c r="N112" s="78">
        <v>649.74</v>
      </c>
      <c r="O112" s="224"/>
      <c r="P112" s="224"/>
      <c r="Q112" s="225"/>
      <c r="R112" s="101"/>
    </row>
    <row r="113" spans="1:18" ht="15.75" thickBot="1">
      <c r="A113" s="2"/>
      <c r="B113" s="13" t="s">
        <v>2920</v>
      </c>
      <c r="C113" s="14">
        <v>5.5</v>
      </c>
      <c r="D113" s="15">
        <v>7.5</v>
      </c>
      <c r="E113" s="27">
        <v>12</v>
      </c>
      <c r="F113" s="28">
        <v>80</v>
      </c>
      <c r="G113" s="186">
        <v>108</v>
      </c>
      <c r="H113" s="27" t="s">
        <v>160</v>
      </c>
      <c r="I113" s="28">
        <v>2900</v>
      </c>
      <c r="J113" s="38" t="s">
        <v>851</v>
      </c>
      <c r="K113" s="39">
        <v>55</v>
      </c>
      <c r="L113" s="42">
        <v>8.1919266000000004E-2</v>
      </c>
      <c r="M113" s="78"/>
      <c r="N113" s="78">
        <v>793.6110000000001</v>
      </c>
      <c r="O113" s="224"/>
      <c r="P113" s="224"/>
      <c r="Q113" s="225"/>
      <c r="R113" s="101"/>
    </row>
    <row r="114" spans="1:18" ht="15.75" thickBot="1">
      <c r="A114" s="2"/>
      <c r="B114" s="13" t="s">
        <v>2921</v>
      </c>
      <c r="C114" s="14">
        <v>5.5</v>
      </c>
      <c r="D114" s="15">
        <v>7.5</v>
      </c>
      <c r="E114" s="27">
        <v>12</v>
      </c>
      <c r="F114" s="28">
        <v>89</v>
      </c>
      <c r="G114" s="186">
        <v>120</v>
      </c>
      <c r="H114" s="27" t="s">
        <v>160</v>
      </c>
      <c r="I114" s="28">
        <v>2900</v>
      </c>
      <c r="J114" s="38" t="s">
        <v>851</v>
      </c>
      <c r="K114" s="39">
        <v>56</v>
      </c>
      <c r="L114" s="42">
        <v>8.4465524E-2</v>
      </c>
      <c r="M114" s="78"/>
      <c r="N114" s="78">
        <v>803.60700000000008</v>
      </c>
      <c r="O114" s="224"/>
      <c r="P114" s="224"/>
      <c r="Q114" s="225"/>
      <c r="R114" s="101"/>
    </row>
    <row r="115" spans="1:18" ht="15.75" thickBot="1">
      <c r="A115" s="2"/>
      <c r="B115" s="13" t="s">
        <v>2922</v>
      </c>
      <c r="C115" s="14">
        <v>7.5</v>
      </c>
      <c r="D115" s="15">
        <v>10</v>
      </c>
      <c r="E115" s="27">
        <v>12</v>
      </c>
      <c r="F115" s="28">
        <v>98</v>
      </c>
      <c r="G115" s="186">
        <v>132</v>
      </c>
      <c r="H115" s="27" t="s">
        <v>160</v>
      </c>
      <c r="I115" s="28">
        <v>2900</v>
      </c>
      <c r="J115" s="38" t="s">
        <v>851</v>
      </c>
      <c r="K115" s="39">
        <v>62</v>
      </c>
      <c r="L115" s="42">
        <v>8.7011781999999982E-2</v>
      </c>
      <c r="M115" s="78"/>
      <c r="N115" s="78">
        <v>857.15700000000004</v>
      </c>
      <c r="O115" s="224"/>
      <c r="P115" s="224"/>
      <c r="Q115" s="225"/>
      <c r="R115" s="101"/>
    </row>
    <row r="116" spans="1:18" ht="15.75" thickBot="1">
      <c r="A116" s="2"/>
      <c r="B116" s="13" t="s">
        <v>2923</v>
      </c>
      <c r="C116" s="14">
        <v>7.5</v>
      </c>
      <c r="D116" s="15">
        <v>10</v>
      </c>
      <c r="E116" s="27">
        <v>12</v>
      </c>
      <c r="F116" s="28">
        <v>107</v>
      </c>
      <c r="G116" s="186">
        <v>145</v>
      </c>
      <c r="H116" s="27" t="s">
        <v>160</v>
      </c>
      <c r="I116" s="28">
        <v>2900</v>
      </c>
      <c r="J116" s="38" t="s">
        <v>851</v>
      </c>
      <c r="K116" s="39">
        <v>63</v>
      </c>
      <c r="L116" s="42">
        <v>8.9558039999999992E-2</v>
      </c>
      <c r="M116" s="78"/>
      <c r="N116" s="78">
        <v>867.15300000000002</v>
      </c>
      <c r="O116" s="224"/>
      <c r="P116" s="224"/>
      <c r="Q116" s="225"/>
      <c r="R116" s="101"/>
    </row>
    <row r="117" spans="1:18" ht="23.25" thickBot="1">
      <c r="A117" s="7"/>
      <c r="B117" s="63"/>
      <c r="C117" s="63"/>
      <c r="D117" s="63"/>
      <c r="E117" s="63"/>
      <c r="F117" s="63"/>
      <c r="G117" s="63"/>
      <c r="H117" s="63"/>
      <c r="I117" s="1"/>
      <c r="J117" s="63"/>
      <c r="K117" s="1"/>
      <c r="L117" s="1"/>
      <c r="M117" s="63"/>
      <c r="N117" s="63"/>
    </row>
    <row r="118" spans="1:18" ht="15">
      <c r="B118" s="44" t="s">
        <v>1375</v>
      </c>
      <c r="C118" s="45" t="s">
        <v>2926</v>
      </c>
      <c r="D118" s="46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8" ht="15">
      <c r="B119" s="47" t="s">
        <v>1374</v>
      </c>
      <c r="C119" s="48" t="s">
        <v>1384</v>
      </c>
      <c r="D119" s="49"/>
      <c r="E119" s="52"/>
      <c r="F119" s="52"/>
      <c r="G119" s="52"/>
      <c r="H119" s="52"/>
      <c r="I119" s="52"/>
      <c r="J119" s="52"/>
      <c r="K119" s="52"/>
      <c r="L119" s="52"/>
      <c r="M119" s="52"/>
      <c r="N119" s="52"/>
    </row>
    <row r="120" spans="1:18" ht="15">
      <c r="B120" s="47" t="s">
        <v>1385</v>
      </c>
      <c r="C120" s="48" t="s">
        <v>2927</v>
      </c>
      <c r="D120" s="49"/>
      <c r="E120" s="52"/>
      <c r="F120" s="52"/>
      <c r="G120" s="52"/>
      <c r="H120" s="52"/>
      <c r="I120" s="52"/>
      <c r="J120" s="52"/>
      <c r="K120" s="52"/>
      <c r="L120" s="52"/>
      <c r="M120" s="52"/>
      <c r="N120" s="52"/>
    </row>
    <row r="121" spans="1:18" ht="15">
      <c r="B121" s="47" t="s">
        <v>2723</v>
      </c>
      <c r="C121" s="48" t="s">
        <v>2721</v>
      </c>
      <c r="D121" s="49"/>
      <c r="E121" s="52"/>
      <c r="F121" s="52"/>
      <c r="G121" s="52"/>
      <c r="H121" s="52"/>
      <c r="I121" s="52"/>
      <c r="J121" s="52"/>
      <c r="K121" s="52"/>
      <c r="L121" s="52"/>
      <c r="M121" s="52"/>
      <c r="N121" s="52"/>
    </row>
    <row r="122" spans="1:18" ht="15">
      <c r="B122" s="60" t="s">
        <v>2928</v>
      </c>
      <c r="C122" s="56" t="s">
        <v>2929</v>
      </c>
      <c r="D122" s="57"/>
      <c r="E122" s="58"/>
      <c r="F122" s="58"/>
      <c r="G122" s="58"/>
      <c r="H122" s="58"/>
      <c r="I122" s="58"/>
      <c r="J122" s="58"/>
      <c r="K122" s="58"/>
      <c r="L122" s="58"/>
      <c r="M122" s="58"/>
      <c r="N122" s="58"/>
    </row>
  </sheetData>
  <mergeCells count="10">
    <mergeCell ref="B62:B63"/>
    <mergeCell ref="C62:D63"/>
    <mergeCell ref="E62:G62"/>
    <mergeCell ref="M62:N62"/>
    <mergeCell ref="M63:N63"/>
    <mergeCell ref="B8:B9"/>
    <mergeCell ref="C8:D9"/>
    <mergeCell ref="E8:G8"/>
    <mergeCell ref="M8:N8"/>
    <mergeCell ref="M9:N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>
    <tabColor theme="5" tint="0.39997558519241921"/>
  </sheetPr>
  <dimension ref="B3:M127"/>
  <sheetViews>
    <sheetView workbookViewId="0"/>
  </sheetViews>
  <sheetFormatPr defaultRowHeight="14.25"/>
  <cols>
    <col min="1" max="1" width="36.125" customWidth="1"/>
    <col min="2" max="2" width="24.375" customWidth="1"/>
    <col min="9" max="9" width="11.5" customWidth="1"/>
    <col min="12" max="12" width="13.125" customWidth="1"/>
    <col min="13" max="13" width="16" customWidth="1"/>
    <col min="14" max="14" width="12.75" customWidth="1"/>
    <col min="15" max="15" width="13.25" customWidth="1"/>
  </cols>
  <sheetData>
    <row r="3" spans="2:13" ht="26.25" thickBot="1">
      <c r="B3" s="53" t="s">
        <v>720</v>
      </c>
      <c r="C3" s="6"/>
      <c r="D3" s="6"/>
      <c r="E3" s="6"/>
      <c r="F3" s="6"/>
      <c r="G3" s="6"/>
      <c r="H3" s="17"/>
      <c r="I3" s="6"/>
      <c r="J3" s="29"/>
      <c r="K3" s="29"/>
      <c r="L3" s="269"/>
      <c r="M3" s="270"/>
    </row>
    <row r="4" spans="2:13" ht="15">
      <c r="B4" s="109" t="s">
        <v>1375</v>
      </c>
      <c r="C4" s="45" t="s">
        <v>2983</v>
      </c>
      <c r="D4" s="46"/>
      <c r="E4" s="51"/>
      <c r="F4" s="51"/>
      <c r="G4" s="51"/>
      <c r="H4" s="51"/>
      <c r="I4" s="51"/>
      <c r="J4" s="51"/>
      <c r="K4" s="51"/>
      <c r="L4" s="51"/>
      <c r="M4" s="52"/>
    </row>
    <row r="5" spans="2:13">
      <c r="B5" s="141" t="s">
        <v>1393</v>
      </c>
      <c r="C5" s="275" t="s">
        <v>2598</v>
      </c>
      <c r="D5" s="276"/>
      <c r="E5" s="276"/>
      <c r="F5" s="276"/>
      <c r="G5" s="276"/>
      <c r="H5" s="276"/>
      <c r="I5" s="276"/>
      <c r="J5" s="276"/>
      <c r="K5" s="276"/>
      <c r="L5" s="276"/>
      <c r="M5" s="276"/>
    </row>
    <row r="6" spans="2:13" ht="47.25" customHeight="1">
      <c r="B6" s="141" t="s">
        <v>1522</v>
      </c>
      <c r="C6" s="271" t="s">
        <v>2686</v>
      </c>
      <c r="D6" s="272"/>
      <c r="E6" s="272"/>
      <c r="F6" s="272"/>
      <c r="G6" s="272"/>
      <c r="H6" s="272"/>
      <c r="I6" s="272"/>
      <c r="J6" s="272"/>
      <c r="K6" s="272"/>
      <c r="L6" s="272"/>
      <c r="M6" s="52"/>
    </row>
    <row r="7" spans="2:13" ht="15">
      <c r="B7" s="110" t="s">
        <v>1374</v>
      </c>
      <c r="C7" s="48" t="s">
        <v>830</v>
      </c>
      <c r="D7" s="49"/>
      <c r="E7" s="52"/>
      <c r="F7" s="52"/>
      <c r="G7" s="52"/>
      <c r="H7" s="52"/>
      <c r="I7" s="52"/>
      <c r="J7" s="52"/>
      <c r="K7" s="52"/>
      <c r="L7" s="52"/>
      <c r="M7" s="52"/>
    </row>
    <row r="8" spans="2:13" ht="41.25" customHeight="1">
      <c r="B8" s="110" t="s">
        <v>1373</v>
      </c>
      <c r="C8" s="271" t="s">
        <v>1378</v>
      </c>
      <c r="D8" s="272"/>
      <c r="E8" s="272"/>
      <c r="F8" s="272"/>
      <c r="G8" s="272"/>
      <c r="H8" s="272"/>
      <c r="I8" s="272"/>
      <c r="J8" s="272"/>
      <c r="K8" s="272"/>
      <c r="L8" s="272"/>
      <c r="M8" s="52"/>
    </row>
    <row r="9" spans="2:13" ht="42.75" customHeight="1">
      <c r="B9" s="110" t="s">
        <v>1376</v>
      </c>
      <c r="C9" s="271" t="s">
        <v>1273</v>
      </c>
      <c r="D9" s="272"/>
      <c r="E9" s="272"/>
      <c r="F9" s="272"/>
      <c r="G9" s="272"/>
      <c r="H9" s="272"/>
      <c r="I9" s="272"/>
      <c r="J9" s="272"/>
      <c r="K9" s="272"/>
      <c r="L9" s="272"/>
      <c r="M9" s="107"/>
    </row>
    <row r="10" spans="2:13" ht="15.75" thickBot="1">
      <c r="B10" s="111" t="s">
        <v>1377</v>
      </c>
      <c r="C10" s="273" t="s">
        <v>195</v>
      </c>
      <c r="D10" s="274"/>
      <c r="E10" s="274"/>
      <c r="F10" s="274"/>
      <c r="G10" s="274"/>
      <c r="H10" s="274"/>
      <c r="I10" s="274"/>
      <c r="J10" s="274"/>
      <c r="K10" s="274"/>
      <c r="L10" s="274"/>
      <c r="M10" s="107"/>
    </row>
    <row r="11" spans="2:13" ht="14.25" customHeight="1">
      <c r="B11" s="267" t="s">
        <v>0</v>
      </c>
      <c r="C11" s="255" t="s">
        <v>1</v>
      </c>
      <c r="D11" s="267"/>
      <c r="E11" s="257" t="s">
        <v>2</v>
      </c>
      <c r="F11" s="258"/>
      <c r="G11" s="258"/>
      <c r="H11" s="18" t="s">
        <v>3</v>
      </c>
      <c r="I11" s="19" t="s">
        <v>4</v>
      </c>
      <c r="J11" s="30" t="s">
        <v>5</v>
      </c>
      <c r="K11" s="31" t="s">
        <v>6</v>
      </c>
      <c r="L11" s="31" t="s">
        <v>7</v>
      </c>
      <c r="M11" s="154"/>
    </row>
    <row r="12" spans="2:13" ht="15">
      <c r="B12" s="268"/>
      <c r="C12" s="256"/>
      <c r="D12" s="268"/>
      <c r="E12" s="20" t="s">
        <v>9</v>
      </c>
      <c r="F12" s="33" t="s">
        <v>10</v>
      </c>
      <c r="G12" s="10" t="s">
        <v>854</v>
      </c>
      <c r="H12" s="21"/>
      <c r="I12" s="22"/>
      <c r="J12" s="32"/>
      <c r="K12" s="33"/>
      <c r="L12" s="33"/>
      <c r="M12" s="155"/>
    </row>
    <row r="13" spans="2:13" ht="15.75" thickBot="1">
      <c r="B13" s="11"/>
      <c r="C13" s="12" t="s">
        <v>12</v>
      </c>
      <c r="D13" s="11" t="s">
        <v>13</v>
      </c>
      <c r="E13" s="23" t="s">
        <v>14</v>
      </c>
      <c r="F13" s="133" t="s">
        <v>15</v>
      </c>
      <c r="G13" s="134" t="s">
        <v>15</v>
      </c>
      <c r="H13" s="25" t="s">
        <v>16</v>
      </c>
      <c r="I13" s="26" t="s">
        <v>17</v>
      </c>
      <c r="J13" s="34"/>
      <c r="K13" s="35" t="s">
        <v>18</v>
      </c>
      <c r="L13" s="36" t="s">
        <v>19</v>
      </c>
      <c r="M13" s="156" t="s">
        <v>2542</v>
      </c>
    </row>
    <row r="14" spans="2:13" ht="15" thickBot="1">
      <c r="B14" s="13" t="s">
        <v>721</v>
      </c>
      <c r="C14" s="14">
        <v>0.75</v>
      </c>
      <c r="D14" s="15">
        <v>1</v>
      </c>
      <c r="E14" s="14">
        <v>8</v>
      </c>
      <c r="F14" s="28">
        <v>14</v>
      </c>
      <c r="G14" s="136">
        <v>16</v>
      </c>
      <c r="H14" s="27" t="s">
        <v>107</v>
      </c>
      <c r="I14" s="28">
        <v>2900</v>
      </c>
      <c r="J14" s="38" t="s">
        <v>707</v>
      </c>
      <c r="K14" s="39">
        <v>36</v>
      </c>
      <c r="L14" s="40">
        <f>0.34*0.22*0.53</f>
        <v>3.9644000000000006E-2</v>
      </c>
      <c r="M14" s="78">
        <v>527.28899999999999</v>
      </c>
    </row>
    <row r="15" spans="2:13" ht="15" thickBot="1">
      <c r="B15" s="13" t="s">
        <v>722</v>
      </c>
      <c r="C15" s="14">
        <v>1.1000000000000001</v>
      </c>
      <c r="D15" s="15">
        <v>1.5</v>
      </c>
      <c r="E15" s="14">
        <v>8</v>
      </c>
      <c r="F15" s="28">
        <v>18</v>
      </c>
      <c r="G15" s="136">
        <v>19.8</v>
      </c>
      <c r="H15" s="27" t="s">
        <v>107</v>
      </c>
      <c r="I15" s="28">
        <v>2900</v>
      </c>
      <c r="J15" s="38" t="s">
        <v>707</v>
      </c>
      <c r="K15" s="39">
        <v>37</v>
      </c>
      <c r="L15" s="42">
        <f>0.34*0.22*0.53</f>
        <v>3.9644000000000006E-2</v>
      </c>
      <c r="M15" s="78">
        <v>544.78200000000004</v>
      </c>
    </row>
    <row r="16" spans="2:13" ht="15" thickBot="1">
      <c r="B16" s="13" t="s">
        <v>723</v>
      </c>
      <c r="C16" s="14">
        <v>1.5</v>
      </c>
      <c r="D16" s="15">
        <v>2</v>
      </c>
      <c r="E16" s="14">
        <v>12.5</v>
      </c>
      <c r="F16" s="28">
        <v>21</v>
      </c>
      <c r="G16" s="136">
        <v>25.3</v>
      </c>
      <c r="H16" s="27" t="s">
        <v>107</v>
      </c>
      <c r="I16" s="28">
        <v>2900</v>
      </c>
      <c r="J16" s="38" t="s">
        <v>707</v>
      </c>
      <c r="K16" s="39">
        <v>41</v>
      </c>
      <c r="L16" s="42">
        <f>0.34*0.22*0.57</f>
        <v>4.2636E-2</v>
      </c>
      <c r="M16" s="78">
        <v>609.04200000000003</v>
      </c>
    </row>
    <row r="17" spans="2:13" ht="15" thickBot="1">
      <c r="B17" s="13" t="s">
        <v>724</v>
      </c>
      <c r="C17" s="14">
        <v>2.2000000000000002</v>
      </c>
      <c r="D17" s="15">
        <v>3</v>
      </c>
      <c r="E17" s="14">
        <v>12.5</v>
      </c>
      <c r="F17" s="28">
        <v>26</v>
      </c>
      <c r="G17" s="136">
        <v>28.7</v>
      </c>
      <c r="H17" s="27" t="s">
        <v>107</v>
      </c>
      <c r="I17" s="28">
        <v>2900</v>
      </c>
      <c r="J17" s="38" t="s">
        <v>707</v>
      </c>
      <c r="K17" s="39">
        <v>45</v>
      </c>
      <c r="L17" s="42">
        <f>0.34*0.22*0.57</f>
        <v>4.2636E-2</v>
      </c>
      <c r="M17" s="78">
        <v>644.38499999999999</v>
      </c>
    </row>
    <row r="18" spans="2:13" ht="15" thickBot="1">
      <c r="B18" s="13" t="s">
        <v>725</v>
      </c>
      <c r="C18" s="14">
        <v>3</v>
      </c>
      <c r="D18" s="15">
        <v>4</v>
      </c>
      <c r="E18" s="14">
        <v>12.5</v>
      </c>
      <c r="F18" s="28">
        <v>33</v>
      </c>
      <c r="G18" s="136">
        <v>36</v>
      </c>
      <c r="H18" s="27" t="s">
        <v>107</v>
      </c>
      <c r="I18" s="28">
        <v>2900</v>
      </c>
      <c r="J18" s="38" t="s">
        <v>707</v>
      </c>
      <c r="K18" s="39">
        <v>56</v>
      </c>
      <c r="L18" s="42">
        <f>0.36*0.24*0.63</f>
        <v>5.4431999999999994E-2</v>
      </c>
      <c r="M18" s="78">
        <v>761.48100000000011</v>
      </c>
    </row>
    <row r="19" spans="2:13" ht="15" thickBot="1">
      <c r="B19" s="13" t="s">
        <v>726</v>
      </c>
      <c r="C19" s="14">
        <v>4</v>
      </c>
      <c r="D19" s="15">
        <v>5.5</v>
      </c>
      <c r="E19" s="14">
        <v>12.5</v>
      </c>
      <c r="F19" s="28">
        <v>40</v>
      </c>
      <c r="G19" s="136">
        <v>41.3</v>
      </c>
      <c r="H19" s="27" t="s">
        <v>107</v>
      </c>
      <c r="I19" s="28">
        <v>2900</v>
      </c>
      <c r="J19" s="38" t="s">
        <v>707</v>
      </c>
      <c r="K19" s="39">
        <v>70</v>
      </c>
      <c r="L19" s="42">
        <f>0.38*0.28*0.65</f>
        <v>6.9160000000000013E-2</v>
      </c>
      <c r="M19" s="78">
        <v>919.63200000000018</v>
      </c>
    </row>
    <row r="20" spans="2:13" ht="15" thickBot="1">
      <c r="B20" s="13" t="s">
        <v>727</v>
      </c>
      <c r="C20" s="14">
        <v>5.5</v>
      </c>
      <c r="D20" s="15">
        <v>7.5</v>
      </c>
      <c r="E20" s="14">
        <v>12.5</v>
      </c>
      <c r="F20" s="28">
        <v>50</v>
      </c>
      <c r="G20" s="136">
        <v>51</v>
      </c>
      <c r="H20" s="27" t="s">
        <v>107</v>
      </c>
      <c r="I20" s="28">
        <v>2900</v>
      </c>
      <c r="J20" s="38" t="s">
        <v>707</v>
      </c>
      <c r="K20" s="39">
        <v>90</v>
      </c>
      <c r="L20" s="42">
        <f>0.38*0.28*0.78</f>
        <v>8.299200000000001E-2</v>
      </c>
      <c r="M20" s="78">
        <v>1177.386</v>
      </c>
    </row>
    <row r="21" spans="2:13" ht="15" thickBot="1">
      <c r="B21" s="13" t="s">
        <v>728</v>
      </c>
      <c r="C21" s="14">
        <v>0.75</v>
      </c>
      <c r="D21" s="15">
        <v>1</v>
      </c>
      <c r="E21" s="14">
        <v>8</v>
      </c>
      <c r="F21" s="28">
        <v>14</v>
      </c>
      <c r="G21" s="136">
        <v>16</v>
      </c>
      <c r="H21" s="27" t="s">
        <v>136</v>
      </c>
      <c r="I21" s="28">
        <v>2900</v>
      </c>
      <c r="J21" s="38" t="s">
        <v>707</v>
      </c>
      <c r="K21" s="39">
        <v>34</v>
      </c>
      <c r="L21" s="42">
        <f>0.34*0.21*0.51</f>
        <v>3.6414000000000002E-2</v>
      </c>
      <c r="M21" s="78">
        <v>474.45300000000003</v>
      </c>
    </row>
    <row r="22" spans="2:13" ht="15" thickBot="1">
      <c r="B22" s="13" t="s">
        <v>729</v>
      </c>
      <c r="C22" s="14">
        <v>1.1000000000000001</v>
      </c>
      <c r="D22" s="15">
        <v>1.5</v>
      </c>
      <c r="E22" s="14">
        <v>12.5</v>
      </c>
      <c r="F22" s="28">
        <v>16</v>
      </c>
      <c r="G22" s="136">
        <v>19.8</v>
      </c>
      <c r="H22" s="27" t="s">
        <v>136</v>
      </c>
      <c r="I22" s="28">
        <v>2900</v>
      </c>
      <c r="J22" s="38" t="s">
        <v>707</v>
      </c>
      <c r="K22" s="39">
        <v>35</v>
      </c>
      <c r="L22" s="42">
        <f>0.34*0.21*0.51</f>
        <v>3.6414000000000002E-2</v>
      </c>
      <c r="M22" s="78">
        <v>491.94600000000008</v>
      </c>
    </row>
    <row r="23" spans="2:13" ht="15" thickBot="1">
      <c r="B23" s="13" t="s">
        <v>730</v>
      </c>
      <c r="C23" s="14">
        <v>1.5</v>
      </c>
      <c r="D23" s="15">
        <v>2</v>
      </c>
      <c r="E23" s="14">
        <v>12.5</v>
      </c>
      <c r="F23" s="28">
        <v>21</v>
      </c>
      <c r="G23" s="136">
        <v>24</v>
      </c>
      <c r="H23" s="27" t="s">
        <v>136</v>
      </c>
      <c r="I23" s="28">
        <v>2900</v>
      </c>
      <c r="J23" s="38" t="s">
        <v>707</v>
      </c>
      <c r="K23" s="39">
        <v>41</v>
      </c>
      <c r="L23" s="42">
        <f>0.34*0.21*0.56</f>
        <v>3.9984000000000006E-2</v>
      </c>
      <c r="M23" s="78">
        <v>556.56299999999999</v>
      </c>
    </row>
    <row r="24" spans="2:13" ht="15" thickBot="1">
      <c r="B24" s="13" t="s">
        <v>731</v>
      </c>
      <c r="C24" s="14">
        <v>2.2000000000000002</v>
      </c>
      <c r="D24" s="15">
        <v>3</v>
      </c>
      <c r="E24" s="14">
        <v>20</v>
      </c>
      <c r="F24" s="28">
        <v>20</v>
      </c>
      <c r="G24" s="136">
        <v>23</v>
      </c>
      <c r="H24" s="27" t="s">
        <v>136</v>
      </c>
      <c r="I24" s="28">
        <v>2900</v>
      </c>
      <c r="J24" s="38" t="s">
        <v>707</v>
      </c>
      <c r="K24" s="39">
        <v>46</v>
      </c>
      <c r="L24" s="42">
        <f>0.34*0.22*0.58</f>
        <v>4.3383999999999999E-2</v>
      </c>
      <c r="M24" s="78">
        <v>620.82299999999998</v>
      </c>
    </row>
    <row r="25" spans="2:13" ht="15" thickBot="1">
      <c r="B25" s="13" t="s">
        <v>732</v>
      </c>
      <c r="C25" s="14">
        <v>3</v>
      </c>
      <c r="D25" s="15">
        <v>4</v>
      </c>
      <c r="E25" s="14">
        <v>20</v>
      </c>
      <c r="F25" s="28">
        <v>25</v>
      </c>
      <c r="G25" s="136">
        <v>29</v>
      </c>
      <c r="H25" s="27" t="s">
        <v>136</v>
      </c>
      <c r="I25" s="28">
        <v>2900</v>
      </c>
      <c r="J25" s="38" t="s">
        <v>707</v>
      </c>
      <c r="K25" s="39">
        <v>58</v>
      </c>
      <c r="L25" s="42">
        <f>0.36*0.25*0.64</f>
        <v>5.7599999999999998E-2</v>
      </c>
      <c r="M25" s="78">
        <v>761.48100000000011</v>
      </c>
    </row>
    <row r="26" spans="2:13" ht="15" thickBot="1">
      <c r="B26" s="13" t="s">
        <v>733</v>
      </c>
      <c r="C26" s="14">
        <v>4</v>
      </c>
      <c r="D26" s="15">
        <v>5.5</v>
      </c>
      <c r="E26" s="14">
        <v>25</v>
      </c>
      <c r="F26" s="28">
        <v>30</v>
      </c>
      <c r="G26" s="136">
        <v>34.9</v>
      </c>
      <c r="H26" s="27" t="s">
        <v>136</v>
      </c>
      <c r="I26" s="28">
        <v>2900</v>
      </c>
      <c r="J26" s="38" t="s">
        <v>707</v>
      </c>
      <c r="K26" s="39">
        <v>66</v>
      </c>
      <c r="L26" s="42">
        <f>0.36*0.25*0.64</f>
        <v>5.7599999999999998E-2</v>
      </c>
      <c r="M26" s="78">
        <v>884.28899999999999</v>
      </c>
    </row>
    <row r="27" spans="2:13" ht="15" thickBot="1">
      <c r="B27" s="13" t="s">
        <v>734</v>
      </c>
      <c r="C27" s="14">
        <v>5.5</v>
      </c>
      <c r="D27" s="15">
        <v>7.5</v>
      </c>
      <c r="E27" s="14">
        <v>25</v>
      </c>
      <c r="F27" s="28">
        <v>36</v>
      </c>
      <c r="G27" s="136">
        <v>41</v>
      </c>
      <c r="H27" s="27" t="s">
        <v>136</v>
      </c>
      <c r="I27" s="28">
        <v>2900</v>
      </c>
      <c r="J27" s="38" t="s">
        <v>707</v>
      </c>
      <c r="K27" s="39">
        <v>91</v>
      </c>
      <c r="L27" s="42">
        <f>0.4*0.28*0.77</f>
        <v>8.6240000000000011E-2</v>
      </c>
      <c r="M27" s="78">
        <v>1188.81</v>
      </c>
    </row>
    <row r="28" spans="2:13" ht="15" thickBot="1">
      <c r="B28" s="13" t="s">
        <v>735</v>
      </c>
      <c r="C28" s="14">
        <v>7.5</v>
      </c>
      <c r="D28" s="15">
        <v>10</v>
      </c>
      <c r="E28" s="14">
        <v>25</v>
      </c>
      <c r="F28" s="28">
        <v>48</v>
      </c>
      <c r="G28" s="136">
        <v>52</v>
      </c>
      <c r="H28" s="27" t="s">
        <v>136</v>
      </c>
      <c r="I28" s="28">
        <v>2900</v>
      </c>
      <c r="J28" s="38" t="s">
        <v>707</v>
      </c>
      <c r="K28" s="39">
        <v>100</v>
      </c>
      <c r="L28" s="42">
        <f>0.4*0.28*0.77</f>
        <v>8.6240000000000011E-2</v>
      </c>
      <c r="M28" s="78">
        <v>1224.1529999999998</v>
      </c>
    </row>
    <row r="29" spans="2:13" ht="15" thickBot="1">
      <c r="B29" s="13" t="s">
        <v>736</v>
      </c>
      <c r="C29" s="14">
        <v>3</v>
      </c>
      <c r="D29" s="15">
        <v>4</v>
      </c>
      <c r="E29" s="14">
        <v>12.5</v>
      </c>
      <c r="F29" s="28">
        <v>33</v>
      </c>
      <c r="G29" s="136">
        <v>35</v>
      </c>
      <c r="H29" s="27" t="s">
        <v>160</v>
      </c>
      <c r="I29" s="28">
        <v>2900</v>
      </c>
      <c r="J29" s="38" t="s">
        <v>707</v>
      </c>
      <c r="K29" s="39">
        <v>69</v>
      </c>
      <c r="L29" s="42">
        <f>0.42*0.28*0.65</f>
        <v>7.6440000000000008E-2</v>
      </c>
      <c r="M29" s="78">
        <v>843.59100000000012</v>
      </c>
    </row>
    <row r="30" spans="2:13" ht="15" thickBot="1">
      <c r="B30" s="13" t="s">
        <v>737</v>
      </c>
      <c r="C30" s="14">
        <v>4</v>
      </c>
      <c r="D30" s="15">
        <v>5.5</v>
      </c>
      <c r="E30" s="14">
        <v>12.5</v>
      </c>
      <c r="F30" s="28">
        <v>39</v>
      </c>
      <c r="G30" s="136">
        <v>42</v>
      </c>
      <c r="H30" s="27" t="s">
        <v>160</v>
      </c>
      <c r="I30" s="28">
        <v>2900</v>
      </c>
      <c r="J30" s="38" t="s">
        <v>707</v>
      </c>
      <c r="K30" s="39">
        <v>76</v>
      </c>
      <c r="L30" s="42">
        <f>0.42*0.28*0.66</f>
        <v>7.7616000000000004E-2</v>
      </c>
      <c r="M30" s="78">
        <v>966.399</v>
      </c>
    </row>
    <row r="31" spans="2:13" ht="15" thickBot="1">
      <c r="B31" s="13" t="s">
        <v>738</v>
      </c>
      <c r="C31" s="14">
        <v>5.5</v>
      </c>
      <c r="D31" s="15">
        <v>7.5</v>
      </c>
      <c r="E31" s="14">
        <v>12.5</v>
      </c>
      <c r="F31" s="28">
        <v>49</v>
      </c>
      <c r="G31" s="136">
        <v>52</v>
      </c>
      <c r="H31" s="27" t="s">
        <v>160</v>
      </c>
      <c r="I31" s="28">
        <v>2900</v>
      </c>
      <c r="J31" s="38" t="s">
        <v>707</v>
      </c>
      <c r="K31" s="39">
        <v>94</v>
      </c>
      <c r="L31" s="42">
        <f>0.42*0.28*0.78</f>
        <v>9.1728000000000018E-2</v>
      </c>
      <c r="M31" s="78">
        <v>1224.1529999999998</v>
      </c>
    </row>
    <row r="32" spans="2:13" ht="15" thickBot="1">
      <c r="B32" s="13" t="s">
        <v>739</v>
      </c>
      <c r="C32" s="14">
        <v>7.5</v>
      </c>
      <c r="D32" s="15">
        <v>10</v>
      </c>
      <c r="E32" s="14">
        <v>12.5</v>
      </c>
      <c r="F32" s="28">
        <v>59</v>
      </c>
      <c r="G32" s="136">
        <v>62.3</v>
      </c>
      <c r="H32" s="27" t="s">
        <v>160</v>
      </c>
      <c r="I32" s="28">
        <v>2900</v>
      </c>
      <c r="J32" s="38" t="s">
        <v>707</v>
      </c>
      <c r="K32" s="39">
        <v>121</v>
      </c>
      <c r="L32" s="42">
        <f>0.46*0.35*0.79</f>
        <v>0.12719</v>
      </c>
      <c r="M32" s="78">
        <v>1358.7420000000002</v>
      </c>
    </row>
    <row r="33" spans="2:13" ht="15" thickBot="1">
      <c r="B33" s="13" t="s">
        <v>740</v>
      </c>
      <c r="C33" s="14">
        <v>11</v>
      </c>
      <c r="D33" s="15">
        <v>15</v>
      </c>
      <c r="E33" s="14">
        <v>12.5</v>
      </c>
      <c r="F33" s="28">
        <v>80</v>
      </c>
      <c r="G33" s="136">
        <v>82</v>
      </c>
      <c r="H33" s="27" t="s">
        <v>160</v>
      </c>
      <c r="I33" s="28">
        <v>2900</v>
      </c>
      <c r="J33" s="38" t="s">
        <v>707</v>
      </c>
      <c r="K33" s="39">
        <v>195</v>
      </c>
      <c r="L33" s="42">
        <f>0.46*0.37*0.9</f>
        <v>0.15318000000000001</v>
      </c>
      <c r="M33" s="78">
        <v>1833.1949999999999</v>
      </c>
    </row>
    <row r="34" spans="2:13" ht="15" thickBot="1">
      <c r="B34" s="13" t="s">
        <v>741</v>
      </c>
      <c r="C34" s="14">
        <v>1.1000000000000001</v>
      </c>
      <c r="D34" s="15">
        <v>1.5</v>
      </c>
      <c r="E34" s="14">
        <v>16</v>
      </c>
      <c r="F34" s="28">
        <v>12</v>
      </c>
      <c r="G34" s="136">
        <v>13</v>
      </c>
      <c r="H34" s="27" t="s">
        <v>160</v>
      </c>
      <c r="I34" s="28">
        <v>2900</v>
      </c>
      <c r="J34" s="38" t="s">
        <v>707</v>
      </c>
      <c r="K34" s="39">
        <v>40</v>
      </c>
      <c r="L34" s="42">
        <f>0.36*0.24*0.54</f>
        <v>4.6655999999999996E-2</v>
      </c>
      <c r="M34" s="78">
        <v>579.76800000000003</v>
      </c>
    </row>
    <row r="35" spans="2:13" ht="15" thickBot="1">
      <c r="B35" s="13" t="s">
        <v>742</v>
      </c>
      <c r="C35" s="14">
        <v>1.5</v>
      </c>
      <c r="D35" s="15">
        <v>2</v>
      </c>
      <c r="E35" s="14">
        <v>20</v>
      </c>
      <c r="F35" s="28">
        <v>15</v>
      </c>
      <c r="G35" s="136">
        <v>16.100000000000001</v>
      </c>
      <c r="H35" s="27" t="s">
        <v>160</v>
      </c>
      <c r="I35" s="28">
        <v>2900</v>
      </c>
      <c r="J35" s="38" t="s">
        <v>707</v>
      </c>
      <c r="K35" s="39">
        <v>46</v>
      </c>
      <c r="L35" s="42">
        <f>0.36*0.24*0.59</f>
        <v>5.0975999999999994E-2</v>
      </c>
      <c r="M35" s="78">
        <v>638.31600000000003</v>
      </c>
    </row>
    <row r="36" spans="2:13" ht="15" thickBot="1">
      <c r="B36" s="13" t="s">
        <v>743</v>
      </c>
      <c r="C36" s="14">
        <v>2.2000000000000002</v>
      </c>
      <c r="D36" s="15">
        <v>3</v>
      </c>
      <c r="E36" s="14">
        <v>25</v>
      </c>
      <c r="F36" s="28">
        <v>18</v>
      </c>
      <c r="G36" s="136">
        <v>20.2</v>
      </c>
      <c r="H36" s="27" t="s">
        <v>160</v>
      </c>
      <c r="I36" s="28">
        <v>2900</v>
      </c>
      <c r="J36" s="38" t="s">
        <v>707</v>
      </c>
      <c r="K36" s="39">
        <v>49</v>
      </c>
      <c r="L36" s="42">
        <f>0.36*0.24*0.59</f>
        <v>5.0975999999999994E-2</v>
      </c>
      <c r="M36" s="78">
        <v>679.37100000000009</v>
      </c>
    </row>
    <row r="37" spans="2:13" ht="15" thickBot="1">
      <c r="B37" s="13" t="s">
        <v>744</v>
      </c>
      <c r="C37" s="14">
        <v>3</v>
      </c>
      <c r="D37" s="15">
        <v>4</v>
      </c>
      <c r="E37" s="14">
        <v>25</v>
      </c>
      <c r="F37" s="28">
        <v>24</v>
      </c>
      <c r="G37" s="136">
        <v>25.9</v>
      </c>
      <c r="H37" s="27" t="s">
        <v>160</v>
      </c>
      <c r="I37" s="28">
        <v>2900</v>
      </c>
      <c r="J37" s="38" t="s">
        <v>707</v>
      </c>
      <c r="K37" s="39">
        <v>59</v>
      </c>
      <c r="L37" s="42">
        <f>0.36*0.24*0.65</f>
        <v>5.6159999999999995E-2</v>
      </c>
      <c r="M37" s="78">
        <v>796.46699999999998</v>
      </c>
    </row>
    <row r="38" spans="2:13" ht="15" thickBot="1">
      <c r="B38" s="13" t="s">
        <v>745</v>
      </c>
      <c r="C38" s="14">
        <v>4</v>
      </c>
      <c r="D38" s="15">
        <v>5.5</v>
      </c>
      <c r="E38" s="14">
        <v>30</v>
      </c>
      <c r="F38" s="28">
        <v>28</v>
      </c>
      <c r="G38" s="136">
        <v>29.5</v>
      </c>
      <c r="H38" s="27" t="s">
        <v>160</v>
      </c>
      <c r="I38" s="28">
        <v>2900</v>
      </c>
      <c r="J38" s="38" t="s">
        <v>707</v>
      </c>
      <c r="K38" s="39">
        <v>68</v>
      </c>
      <c r="L38" s="42">
        <f>0.36*0.25*0.66</f>
        <v>5.9400000000000001E-2</v>
      </c>
      <c r="M38" s="78">
        <v>919.63200000000018</v>
      </c>
    </row>
    <row r="39" spans="2:13" ht="15" thickBot="1">
      <c r="B39" s="13" t="s">
        <v>746</v>
      </c>
      <c r="C39" s="14">
        <v>5.5</v>
      </c>
      <c r="D39" s="15">
        <v>7.5</v>
      </c>
      <c r="E39" s="14">
        <v>30</v>
      </c>
      <c r="F39" s="28">
        <v>35</v>
      </c>
      <c r="G39" s="136">
        <v>36.299999999999997</v>
      </c>
      <c r="H39" s="27" t="s">
        <v>160</v>
      </c>
      <c r="I39" s="28">
        <v>2900</v>
      </c>
      <c r="J39" s="38" t="s">
        <v>707</v>
      </c>
      <c r="K39" s="39">
        <v>86</v>
      </c>
      <c r="L39" s="42">
        <f>0.36*0.25*0.78</f>
        <v>7.0199999999999999E-2</v>
      </c>
      <c r="M39" s="78">
        <v>1159.5360000000001</v>
      </c>
    </row>
    <row r="40" spans="2:13" ht="15" thickBot="1">
      <c r="B40" s="13" t="s">
        <v>747</v>
      </c>
      <c r="C40" s="14">
        <v>7.5</v>
      </c>
      <c r="D40" s="15">
        <v>10</v>
      </c>
      <c r="E40" s="14">
        <v>35</v>
      </c>
      <c r="F40" s="28">
        <v>40</v>
      </c>
      <c r="G40" s="136">
        <v>42.5</v>
      </c>
      <c r="H40" s="27" t="s">
        <v>160</v>
      </c>
      <c r="I40" s="28">
        <v>2900</v>
      </c>
      <c r="J40" s="38" t="s">
        <v>707</v>
      </c>
      <c r="K40" s="39">
        <v>105</v>
      </c>
      <c r="L40" s="42">
        <f>0.42*0.3*0.78</f>
        <v>9.8280000000000006E-2</v>
      </c>
      <c r="M40" s="78">
        <v>1288.4129999999998</v>
      </c>
    </row>
    <row r="41" spans="2:13" ht="15" thickBot="1">
      <c r="B41" s="13" t="s">
        <v>748</v>
      </c>
      <c r="C41" s="14">
        <v>11</v>
      </c>
      <c r="D41" s="15">
        <v>15</v>
      </c>
      <c r="E41" s="14">
        <v>40</v>
      </c>
      <c r="F41" s="28">
        <v>50</v>
      </c>
      <c r="G41" s="136">
        <v>53</v>
      </c>
      <c r="H41" s="27" t="s">
        <v>160</v>
      </c>
      <c r="I41" s="28">
        <v>2900</v>
      </c>
      <c r="J41" s="38" t="s">
        <v>707</v>
      </c>
      <c r="K41" s="39">
        <v>184</v>
      </c>
      <c r="L41" s="42">
        <f>0.44*0.37*0.95</f>
        <v>0.15465999999999999</v>
      </c>
      <c r="M41" s="78">
        <v>1751.085</v>
      </c>
    </row>
    <row r="42" spans="2:13" ht="15" thickBot="1">
      <c r="B42" s="13" t="s">
        <v>749</v>
      </c>
      <c r="C42" s="14">
        <v>15</v>
      </c>
      <c r="D42" s="15">
        <v>20</v>
      </c>
      <c r="E42" s="14">
        <v>50</v>
      </c>
      <c r="F42" s="28">
        <v>60</v>
      </c>
      <c r="G42" s="136">
        <v>65.8</v>
      </c>
      <c r="H42" s="27" t="s">
        <v>160</v>
      </c>
      <c r="I42" s="28">
        <v>2900</v>
      </c>
      <c r="J42" s="38" t="s">
        <v>707</v>
      </c>
      <c r="K42" s="39">
        <v>207</v>
      </c>
      <c r="L42" s="42">
        <f>0.46*0.37*0.96</f>
        <v>0.16339200000000001</v>
      </c>
      <c r="M42" s="78">
        <v>1879.9620000000002</v>
      </c>
    </row>
    <row r="43" spans="2:13" ht="15" thickBot="1">
      <c r="B43" s="13" t="s">
        <v>750</v>
      </c>
      <c r="C43" s="14">
        <v>18.5</v>
      </c>
      <c r="D43" s="15">
        <v>25</v>
      </c>
      <c r="E43" s="14">
        <v>50</v>
      </c>
      <c r="F43" s="28">
        <v>70</v>
      </c>
      <c r="G43" s="136">
        <v>73.7</v>
      </c>
      <c r="H43" s="27" t="s">
        <v>160</v>
      </c>
      <c r="I43" s="28">
        <v>2900</v>
      </c>
      <c r="J43" s="38" t="s">
        <v>707</v>
      </c>
      <c r="K43" s="39">
        <v>215</v>
      </c>
      <c r="L43" s="42">
        <f>0.46*0.37*1</f>
        <v>0.17020000000000002</v>
      </c>
      <c r="M43" s="78">
        <v>1985.6340000000002</v>
      </c>
    </row>
    <row r="44" spans="2:13" ht="15" thickBot="1">
      <c r="B44" s="13" t="s">
        <v>751</v>
      </c>
      <c r="C44" s="14">
        <v>22</v>
      </c>
      <c r="D44" s="15">
        <v>30</v>
      </c>
      <c r="E44" s="14">
        <v>50</v>
      </c>
      <c r="F44" s="28">
        <v>81</v>
      </c>
      <c r="G44" s="136">
        <v>85.5</v>
      </c>
      <c r="H44" s="27" t="s">
        <v>160</v>
      </c>
      <c r="I44" s="28">
        <v>2900</v>
      </c>
      <c r="J44" s="38" t="s">
        <v>707</v>
      </c>
      <c r="K44" s="39">
        <v>269</v>
      </c>
      <c r="L44" s="42">
        <f>0.47*0.37*1.04</f>
        <v>0.18085600000000002</v>
      </c>
      <c r="M44" s="78">
        <v>2395.4700000000003</v>
      </c>
    </row>
    <row r="45" spans="2:13" ht="15" thickBot="1">
      <c r="B45" s="13" t="s">
        <v>752</v>
      </c>
      <c r="C45" s="14">
        <v>5.5</v>
      </c>
      <c r="D45" s="15">
        <v>7.5</v>
      </c>
      <c r="E45" s="14">
        <v>25</v>
      </c>
      <c r="F45" s="28">
        <v>37</v>
      </c>
      <c r="G45" s="136">
        <v>39.6</v>
      </c>
      <c r="H45" s="27" t="s">
        <v>337</v>
      </c>
      <c r="I45" s="28">
        <v>2900</v>
      </c>
      <c r="J45" s="38" t="s">
        <v>707</v>
      </c>
      <c r="K45" s="39">
        <v>97</v>
      </c>
      <c r="L45" s="42">
        <f>0.42*0.28*0.79</f>
        <v>9.2904000000000014E-2</v>
      </c>
      <c r="M45" s="78">
        <v>1241.646</v>
      </c>
    </row>
    <row r="46" spans="2:13" ht="15" thickBot="1">
      <c r="B46" s="13" t="s">
        <v>753</v>
      </c>
      <c r="C46" s="14">
        <v>7.5</v>
      </c>
      <c r="D46" s="15">
        <v>10</v>
      </c>
      <c r="E46" s="14">
        <v>25</v>
      </c>
      <c r="F46" s="28">
        <v>48</v>
      </c>
      <c r="G46" s="136">
        <v>50.4</v>
      </c>
      <c r="H46" s="27" t="s">
        <v>337</v>
      </c>
      <c r="I46" s="28">
        <v>2900</v>
      </c>
      <c r="J46" s="38" t="s">
        <v>707</v>
      </c>
      <c r="K46" s="39">
        <v>105</v>
      </c>
      <c r="L46" s="42">
        <f>0.42*0.28*0.79</f>
        <v>9.2904000000000014E-2</v>
      </c>
      <c r="M46" s="78">
        <v>1270.92</v>
      </c>
    </row>
    <row r="47" spans="2:13" ht="15" thickBot="1">
      <c r="B47" s="13" t="s">
        <v>754</v>
      </c>
      <c r="C47" s="14">
        <v>2.2000000000000002</v>
      </c>
      <c r="D47" s="15">
        <v>3</v>
      </c>
      <c r="E47" s="14">
        <v>30</v>
      </c>
      <c r="F47" s="28">
        <v>15</v>
      </c>
      <c r="G47" s="136">
        <v>17.7</v>
      </c>
      <c r="H47" s="27" t="s">
        <v>337</v>
      </c>
      <c r="I47" s="28">
        <v>2900</v>
      </c>
      <c r="J47" s="38" t="s">
        <v>707</v>
      </c>
      <c r="K47" s="39">
        <v>52</v>
      </c>
      <c r="L47" s="42">
        <f>0.36*0.24*0.61</f>
        <v>5.2703999999999994E-2</v>
      </c>
      <c r="M47" s="78">
        <v>691.15200000000004</v>
      </c>
    </row>
    <row r="48" spans="2:13" ht="15" thickBot="1">
      <c r="B48" s="13" t="s">
        <v>755</v>
      </c>
      <c r="C48" s="14">
        <v>3</v>
      </c>
      <c r="D48" s="15">
        <v>4</v>
      </c>
      <c r="E48" s="14">
        <v>30</v>
      </c>
      <c r="F48" s="28">
        <v>20</v>
      </c>
      <c r="G48" s="136">
        <v>22</v>
      </c>
      <c r="H48" s="27" t="s">
        <v>337</v>
      </c>
      <c r="I48" s="28">
        <v>2900</v>
      </c>
      <c r="J48" s="38" t="s">
        <v>707</v>
      </c>
      <c r="K48" s="39">
        <v>61</v>
      </c>
      <c r="L48" s="42">
        <f>0.36*0.24*0.67</f>
        <v>5.7887999999999995E-2</v>
      </c>
      <c r="M48" s="78">
        <v>808.24800000000005</v>
      </c>
    </row>
    <row r="49" spans="2:13" ht="15" thickBot="1">
      <c r="B49" s="13" t="s">
        <v>756</v>
      </c>
      <c r="C49" s="14">
        <v>4</v>
      </c>
      <c r="D49" s="15">
        <v>5.5</v>
      </c>
      <c r="E49" s="14">
        <v>40</v>
      </c>
      <c r="F49" s="28">
        <v>22</v>
      </c>
      <c r="G49" s="136">
        <v>25.8</v>
      </c>
      <c r="H49" s="27" t="s">
        <v>337</v>
      </c>
      <c r="I49" s="28">
        <v>2900</v>
      </c>
      <c r="J49" s="38" t="s">
        <v>707</v>
      </c>
      <c r="K49" s="39">
        <v>68</v>
      </c>
      <c r="L49" s="42">
        <f>0.36*0.24*0.67</f>
        <v>5.7887999999999995E-2</v>
      </c>
      <c r="M49" s="78">
        <v>931.4129999999999</v>
      </c>
    </row>
    <row r="50" spans="2:13" ht="15" thickBot="1">
      <c r="B50" s="13" t="s">
        <v>757</v>
      </c>
      <c r="C50" s="14">
        <v>5.5</v>
      </c>
      <c r="D50" s="15">
        <v>7.5</v>
      </c>
      <c r="E50" s="14">
        <v>40</v>
      </c>
      <c r="F50" s="28">
        <v>30</v>
      </c>
      <c r="G50" s="136">
        <v>32</v>
      </c>
      <c r="H50" s="27" t="s">
        <v>337</v>
      </c>
      <c r="I50" s="28">
        <v>2900</v>
      </c>
      <c r="J50" s="38" t="s">
        <v>707</v>
      </c>
      <c r="K50" s="39">
        <v>91</v>
      </c>
      <c r="L50" s="42">
        <f>0.38*0.27*0.8</f>
        <v>8.2080000000000014E-2</v>
      </c>
      <c r="M50" s="78">
        <v>1171.3170000000002</v>
      </c>
    </row>
    <row r="51" spans="2:13" ht="15" thickBot="1">
      <c r="B51" s="13" t="s">
        <v>758</v>
      </c>
      <c r="C51" s="14">
        <v>7.5</v>
      </c>
      <c r="D51" s="15">
        <v>10</v>
      </c>
      <c r="E51" s="14">
        <v>50</v>
      </c>
      <c r="F51" s="28">
        <v>34</v>
      </c>
      <c r="G51" s="136">
        <v>38.5</v>
      </c>
      <c r="H51" s="27" t="s">
        <v>337</v>
      </c>
      <c r="I51" s="28">
        <v>2900</v>
      </c>
      <c r="J51" s="38" t="s">
        <v>707</v>
      </c>
      <c r="K51" s="39">
        <v>100</v>
      </c>
      <c r="L51" s="42">
        <f>0.38*0.27*0.8</f>
        <v>8.2080000000000014E-2</v>
      </c>
      <c r="M51" s="78">
        <v>1200.5909999999999</v>
      </c>
    </row>
    <row r="52" spans="2:13" ht="15" thickBot="1">
      <c r="B52" s="13" t="s">
        <v>759</v>
      </c>
      <c r="C52" s="14">
        <v>11</v>
      </c>
      <c r="D52" s="15">
        <v>15</v>
      </c>
      <c r="E52" s="14">
        <v>50</v>
      </c>
      <c r="F52" s="28">
        <v>41</v>
      </c>
      <c r="G52" s="136">
        <v>45</v>
      </c>
      <c r="H52" s="27" t="s">
        <v>337</v>
      </c>
      <c r="I52" s="28">
        <v>2900</v>
      </c>
      <c r="J52" s="38" t="s">
        <v>707</v>
      </c>
      <c r="K52" s="39">
        <v>184</v>
      </c>
      <c r="L52" s="42">
        <f>0.44*0.37*0.96</f>
        <v>0.15628799999999998</v>
      </c>
      <c r="M52" s="78">
        <v>1762.866</v>
      </c>
    </row>
    <row r="53" spans="2:13" ht="15" thickBot="1">
      <c r="B53" s="13" t="s">
        <v>760</v>
      </c>
      <c r="C53" s="14">
        <v>15</v>
      </c>
      <c r="D53" s="15">
        <v>20</v>
      </c>
      <c r="E53" s="14">
        <v>50</v>
      </c>
      <c r="F53" s="28">
        <v>51</v>
      </c>
      <c r="G53" s="136">
        <v>54</v>
      </c>
      <c r="H53" s="27" t="s">
        <v>337</v>
      </c>
      <c r="I53" s="28">
        <v>2900</v>
      </c>
      <c r="J53" s="38" t="s">
        <v>707</v>
      </c>
      <c r="K53" s="39">
        <v>199</v>
      </c>
      <c r="L53" s="42">
        <f>0.44*0.37*0.96</f>
        <v>0.15628799999999998</v>
      </c>
      <c r="M53" s="78">
        <v>1891.7429999999999</v>
      </c>
    </row>
    <row r="54" spans="2:13" ht="15" thickBot="1">
      <c r="B54" s="13" t="s">
        <v>761</v>
      </c>
      <c r="C54" s="14">
        <v>18.5</v>
      </c>
      <c r="D54" s="15">
        <v>25</v>
      </c>
      <c r="E54" s="14">
        <v>50</v>
      </c>
      <c r="F54" s="28">
        <v>61</v>
      </c>
      <c r="G54" s="136">
        <v>64.5</v>
      </c>
      <c r="H54" s="27" t="s">
        <v>337</v>
      </c>
      <c r="I54" s="28">
        <v>2900</v>
      </c>
      <c r="J54" s="38" t="s">
        <v>707</v>
      </c>
      <c r="K54" s="39">
        <v>221</v>
      </c>
      <c r="L54" s="42">
        <f>0.5*0.37*1.02</f>
        <v>0.18870000000000001</v>
      </c>
      <c r="M54" s="78">
        <v>1997.415</v>
      </c>
    </row>
    <row r="55" spans="2:13" ht="15" thickBot="1">
      <c r="B55" s="13" t="s">
        <v>762</v>
      </c>
      <c r="C55" s="14">
        <v>22</v>
      </c>
      <c r="D55" s="15">
        <v>30</v>
      </c>
      <c r="E55" s="14">
        <v>50</v>
      </c>
      <c r="F55" s="28">
        <v>68</v>
      </c>
      <c r="G55" s="136">
        <v>70.5</v>
      </c>
      <c r="H55" s="27" t="s">
        <v>337</v>
      </c>
      <c r="I55" s="28">
        <v>2900</v>
      </c>
      <c r="J55" s="38" t="s">
        <v>707</v>
      </c>
      <c r="K55" s="39">
        <v>274</v>
      </c>
      <c r="L55" s="42">
        <f>0.5*0.37*1.05</f>
        <v>0.19425000000000001</v>
      </c>
      <c r="M55" s="78">
        <v>2412.9630000000002</v>
      </c>
    </row>
    <row r="56" spans="2:13" ht="15" thickBot="1">
      <c r="B56" s="13" t="s">
        <v>763</v>
      </c>
      <c r="C56" s="14">
        <v>30</v>
      </c>
      <c r="D56" s="15">
        <v>40</v>
      </c>
      <c r="E56" s="14">
        <v>50</v>
      </c>
      <c r="F56" s="28">
        <v>85</v>
      </c>
      <c r="G56" s="136">
        <v>86.7</v>
      </c>
      <c r="H56" s="27" t="s">
        <v>337</v>
      </c>
      <c r="I56" s="28">
        <v>2900</v>
      </c>
      <c r="J56" s="38" t="s">
        <v>707</v>
      </c>
      <c r="K56" s="39">
        <v>340</v>
      </c>
      <c r="L56" s="42">
        <f>0.53*0.42*1.13</f>
        <v>0.25153799999999998</v>
      </c>
      <c r="M56" s="78">
        <v>3180.5130000000004</v>
      </c>
    </row>
    <row r="57" spans="2:13" ht="15" thickBot="1">
      <c r="B57" s="13" t="s">
        <v>764</v>
      </c>
      <c r="C57" s="14">
        <v>11</v>
      </c>
      <c r="D57" s="15">
        <v>15</v>
      </c>
      <c r="E57" s="14">
        <v>50</v>
      </c>
      <c r="F57" s="28">
        <v>41</v>
      </c>
      <c r="G57" s="136">
        <v>42.3</v>
      </c>
      <c r="H57" s="27" t="s">
        <v>370</v>
      </c>
      <c r="I57" s="28">
        <v>2900</v>
      </c>
      <c r="J57" s="38" t="s">
        <v>707</v>
      </c>
      <c r="K57" s="39">
        <v>189</v>
      </c>
      <c r="L57" s="42">
        <f>0.52*0.37*0.96</f>
        <v>0.18470400000000001</v>
      </c>
      <c r="M57" s="78">
        <v>1774.6470000000002</v>
      </c>
    </row>
    <row r="58" spans="2:13" ht="15" thickBot="1">
      <c r="B58" s="13" t="s">
        <v>765</v>
      </c>
      <c r="C58" s="14">
        <v>15</v>
      </c>
      <c r="D58" s="15">
        <v>20</v>
      </c>
      <c r="E58" s="14">
        <v>50</v>
      </c>
      <c r="F58" s="28">
        <v>48</v>
      </c>
      <c r="G58" s="136">
        <v>49.4</v>
      </c>
      <c r="H58" s="27" t="s">
        <v>370</v>
      </c>
      <c r="I58" s="28">
        <v>2900</v>
      </c>
      <c r="J58" s="38" t="s">
        <v>707</v>
      </c>
      <c r="K58" s="39">
        <v>204</v>
      </c>
      <c r="L58" s="42">
        <f>0.52*0.37*0.96</f>
        <v>0.18470400000000001</v>
      </c>
      <c r="M58" s="78">
        <v>1909.2359999999996</v>
      </c>
    </row>
    <row r="59" spans="2:13" ht="15" thickBot="1">
      <c r="B59" s="13" t="s">
        <v>766</v>
      </c>
      <c r="C59" s="14">
        <v>3</v>
      </c>
      <c r="D59" s="15">
        <v>4</v>
      </c>
      <c r="E59" s="14">
        <v>50</v>
      </c>
      <c r="F59" s="28">
        <v>13</v>
      </c>
      <c r="G59" s="136">
        <v>18.899999999999999</v>
      </c>
      <c r="H59" s="27" t="s">
        <v>370</v>
      </c>
      <c r="I59" s="28">
        <v>2900</v>
      </c>
      <c r="J59" s="38" t="s">
        <v>707</v>
      </c>
      <c r="K59" s="39">
        <v>68</v>
      </c>
      <c r="L59" s="42">
        <f>0.42*0.27*0.67</f>
        <v>7.5978000000000004E-2</v>
      </c>
      <c r="M59" s="78">
        <v>866.79600000000005</v>
      </c>
    </row>
    <row r="60" spans="2:13" ht="15" thickBot="1">
      <c r="B60" s="13" t="s">
        <v>767</v>
      </c>
      <c r="C60" s="14">
        <v>4</v>
      </c>
      <c r="D60" s="15">
        <v>5.5</v>
      </c>
      <c r="E60" s="14">
        <v>50</v>
      </c>
      <c r="F60" s="28">
        <v>18</v>
      </c>
      <c r="G60" s="136">
        <v>23.2</v>
      </c>
      <c r="H60" s="27" t="s">
        <v>370</v>
      </c>
      <c r="I60" s="28">
        <v>2900</v>
      </c>
      <c r="J60" s="38" t="s">
        <v>707</v>
      </c>
      <c r="K60" s="39">
        <v>75</v>
      </c>
      <c r="L60" s="42">
        <f>0.42*0.27*0.68</f>
        <v>7.7112E-2</v>
      </c>
      <c r="M60" s="78">
        <v>978.18000000000006</v>
      </c>
    </row>
    <row r="61" spans="2:13" ht="15" thickBot="1">
      <c r="B61" s="13" t="s">
        <v>768</v>
      </c>
      <c r="C61" s="14">
        <v>5.5</v>
      </c>
      <c r="D61" s="15">
        <v>7.5</v>
      </c>
      <c r="E61" s="14">
        <v>50</v>
      </c>
      <c r="F61" s="28">
        <v>23</v>
      </c>
      <c r="G61" s="136">
        <v>28.2</v>
      </c>
      <c r="H61" s="27" t="s">
        <v>370</v>
      </c>
      <c r="I61" s="28">
        <v>2900</v>
      </c>
      <c r="J61" s="38" t="s">
        <v>707</v>
      </c>
      <c r="K61" s="39">
        <v>93</v>
      </c>
      <c r="L61" s="42">
        <f>0.42*0.27*0.8</f>
        <v>9.0720000000000009E-2</v>
      </c>
      <c r="M61" s="78">
        <v>1229.865</v>
      </c>
    </row>
    <row r="62" spans="2:13" ht="15" thickBot="1">
      <c r="B62" s="13" t="s">
        <v>769</v>
      </c>
      <c r="C62" s="14">
        <v>7.5</v>
      </c>
      <c r="D62" s="15">
        <v>10</v>
      </c>
      <c r="E62" s="14">
        <v>50</v>
      </c>
      <c r="F62" s="28">
        <v>29</v>
      </c>
      <c r="G62" s="136">
        <v>33</v>
      </c>
      <c r="H62" s="27" t="s">
        <v>370</v>
      </c>
      <c r="I62" s="28">
        <v>2900</v>
      </c>
      <c r="J62" s="38" t="s">
        <v>707</v>
      </c>
      <c r="K62" s="39">
        <v>101</v>
      </c>
      <c r="L62" s="42">
        <f>0.42*0.27*0.8</f>
        <v>9.0720000000000009E-2</v>
      </c>
      <c r="M62" s="78">
        <v>1259.1390000000001</v>
      </c>
    </row>
    <row r="63" spans="2:13" ht="15" thickBot="1">
      <c r="B63" s="13" t="s">
        <v>770</v>
      </c>
      <c r="C63" s="14">
        <v>11</v>
      </c>
      <c r="D63" s="15">
        <v>15</v>
      </c>
      <c r="E63" s="14">
        <v>70</v>
      </c>
      <c r="F63" s="28">
        <v>32</v>
      </c>
      <c r="G63" s="136">
        <v>36.200000000000003</v>
      </c>
      <c r="H63" s="27" t="s">
        <v>370</v>
      </c>
      <c r="I63" s="28">
        <v>2900</v>
      </c>
      <c r="J63" s="38" t="s">
        <v>707</v>
      </c>
      <c r="K63" s="39">
        <v>191</v>
      </c>
      <c r="L63" s="42">
        <f>0.47*0.37*0.98</f>
        <v>0.17042199999999999</v>
      </c>
      <c r="M63" s="78">
        <v>1815.7020000000002</v>
      </c>
    </row>
    <row r="64" spans="2:13" ht="15" thickBot="1">
      <c r="B64" s="13" t="s">
        <v>771</v>
      </c>
      <c r="C64" s="14">
        <v>15</v>
      </c>
      <c r="D64" s="15">
        <v>20</v>
      </c>
      <c r="E64" s="14">
        <v>80</v>
      </c>
      <c r="F64" s="28">
        <v>38</v>
      </c>
      <c r="G64" s="136">
        <v>45.7</v>
      </c>
      <c r="H64" s="27" t="s">
        <v>370</v>
      </c>
      <c r="I64" s="28">
        <v>2900</v>
      </c>
      <c r="J64" s="38" t="s">
        <v>707</v>
      </c>
      <c r="K64" s="39">
        <v>206</v>
      </c>
      <c r="L64" s="42">
        <f>0.47*0.37*0.98</f>
        <v>0.17042199999999999</v>
      </c>
      <c r="M64" s="78">
        <v>1938.51</v>
      </c>
    </row>
    <row r="65" spans="2:13" ht="15" thickBot="1">
      <c r="B65" s="13" t="s">
        <v>772</v>
      </c>
      <c r="C65" s="14">
        <v>18.5</v>
      </c>
      <c r="D65" s="15">
        <v>25</v>
      </c>
      <c r="E65" s="14">
        <v>80</v>
      </c>
      <c r="F65" s="28">
        <v>47</v>
      </c>
      <c r="G65" s="136">
        <v>53.2</v>
      </c>
      <c r="H65" s="27" t="s">
        <v>370</v>
      </c>
      <c r="I65" s="28">
        <v>2900</v>
      </c>
      <c r="J65" s="38" t="s">
        <v>707</v>
      </c>
      <c r="K65" s="39">
        <v>215</v>
      </c>
      <c r="L65" s="42">
        <f>0.47*0.37*1.02</f>
        <v>0.17737800000000001</v>
      </c>
      <c r="M65" s="78">
        <v>2044.1820000000002</v>
      </c>
    </row>
    <row r="66" spans="2:13" ht="15" thickBot="1">
      <c r="B66" s="13" t="s">
        <v>773</v>
      </c>
      <c r="C66" s="14">
        <v>22</v>
      </c>
      <c r="D66" s="15">
        <v>30</v>
      </c>
      <c r="E66" s="14">
        <v>80</v>
      </c>
      <c r="F66" s="28">
        <v>54</v>
      </c>
      <c r="G66" s="136">
        <v>59.7</v>
      </c>
      <c r="H66" s="27" t="s">
        <v>370</v>
      </c>
      <c r="I66" s="28">
        <v>2900</v>
      </c>
      <c r="J66" s="38" t="s">
        <v>707</v>
      </c>
      <c r="K66" s="39">
        <v>269</v>
      </c>
      <c r="L66" s="42">
        <f>0.47*0.37*1.05</f>
        <v>0.18259500000000001</v>
      </c>
      <c r="M66" s="78">
        <v>2454.018</v>
      </c>
    </row>
    <row r="67" spans="2:13" ht="15" thickBot="1">
      <c r="B67" s="13" t="s">
        <v>774</v>
      </c>
      <c r="C67" s="14">
        <v>30</v>
      </c>
      <c r="D67" s="15">
        <v>40</v>
      </c>
      <c r="E67" s="14">
        <v>80</v>
      </c>
      <c r="F67" s="28">
        <v>67</v>
      </c>
      <c r="G67" s="136">
        <v>71</v>
      </c>
      <c r="H67" s="27" t="s">
        <v>370</v>
      </c>
      <c r="I67" s="28">
        <v>2900</v>
      </c>
      <c r="J67" s="38" t="s">
        <v>707</v>
      </c>
      <c r="K67" s="39">
        <v>342</v>
      </c>
      <c r="L67" s="42">
        <f>0.53*0.42*1.14</f>
        <v>0.25376399999999999</v>
      </c>
      <c r="M67" s="78">
        <v>3215.4990000000003</v>
      </c>
    </row>
    <row r="68" spans="2:13" ht="15" thickBot="1">
      <c r="B68" s="13" t="s">
        <v>775</v>
      </c>
      <c r="C68" s="14">
        <v>2.2000000000000002</v>
      </c>
      <c r="D68" s="15">
        <v>3</v>
      </c>
      <c r="E68" s="14">
        <v>50</v>
      </c>
      <c r="F68" s="28">
        <v>9</v>
      </c>
      <c r="G68" s="136">
        <v>12.8</v>
      </c>
      <c r="H68" s="27" t="s">
        <v>396</v>
      </c>
      <c r="I68" s="28">
        <v>2900</v>
      </c>
      <c r="J68" s="38" t="s">
        <v>707</v>
      </c>
      <c r="K68" s="39">
        <v>61</v>
      </c>
      <c r="L68" s="42">
        <f>0.47*0.26*0.63</f>
        <v>7.6985999999999999E-2</v>
      </c>
      <c r="M68" s="78">
        <v>708.64499999999998</v>
      </c>
    </row>
    <row r="69" spans="2:13" ht="15" thickBot="1">
      <c r="B69" s="13" t="s">
        <v>776</v>
      </c>
      <c r="C69" s="14">
        <v>4</v>
      </c>
      <c r="D69" s="15">
        <v>5.5</v>
      </c>
      <c r="E69" s="14">
        <v>60</v>
      </c>
      <c r="F69" s="28">
        <v>15</v>
      </c>
      <c r="G69" s="136">
        <v>18.5</v>
      </c>
      <c r="H69" s="27" t="s">
        <v>396</v>
      </c>
      <c r="I69" s="28">
        <v>2900</v>
      </c>
      <c r="J69" s="38" t="s">
        <v>707</v>
      </c>
      <c r="K69" s="39">
        <v>79</v>
      </c>
      <c r="L69" s="42">
        <f>0.47*0.26*0.7</f>
        <v>8.5539999999999991E-2</v>
      </c>
      <c r="M69" s="78">
        <v>948.90600000000006</v>
      </c>
    </row>
    <row r="70" spans="2:13" ht="15" thickBot="1">
      <c r="B70" s="13" t="s">
        <v>777</v>
      </c>
      <c r="C70" s="14">
        <v>5.5</v>
      </c>
      <c r="D70" s="15">
        <v>7.5</v>
      </c>
      <c r="E70" s="14">
        <v>80</v>
      </c>
      <c r="F70" s="28">
        <v>17</v>
      </c>
      <c r="G70" s="136">
        <v>22</v>
      </c>
      <c r="H70" s="27" t="s">
        <v>396</v>
      </c>
      <c r="I70" s="28">
        <v>2900</v>
      </c>
      <c r="J70" s="38" t="s">
        <v>707</v>
      </c>
      <c r="K70" s="39">
        <v>104</v>
      </c>
      <c r="L70" s="42">
        <f>0.47*0.28*0.82</f>
        <v>0.10791199999999999</v>
      </c>
      <c r="M70" s="78">
        <v>1276.989</v>
      </c>
    </row>
    <row r="71" spans="2:13" ht="15" thickBot="1">
      <c r="B71" s="13" t="s">
        <v>778</v>
      </c>
      <c r="C71" s="14">
        <v>7.5</v>
      </c>
      <c r="D71" s="15">
        <v>10</v>
      </c>
      <c r="E71" s="14">
        <v>80</v>
      </c>
      <c r="F71" s="28">
        <v>22</v>
      </c>
      <c r="G71" s="136">
        <v>26</v>
      </c>
      <c r="H71" s="27" t="s">
        <v>396</v>
      </c>
      <c r="I71" s="28">
        <v>2900</v>
      </c>
      <c r="J71" s="38" t="s">
        <v>707</v>
      </c>
      <c r="K71" s="39">
        <v>112</v>
      </c>
      <c r="L71" s="42">
        <f>0.47*0.28*0.82</f>
        <v>0.10791199999999999</v>
      </c>
      <c r="M71" s="78">
        <v>1306.2629999999999</v>
      </c>
    </row>
    <row r="72" spans="2:13" ht="15" thickBot="1">
      <c r="B72" s="13" t="s">
        <v>779</v>
      </c>
      <c r="C72" s="14">
        <v>11</v>
      </c>
      <c r="D72" s="15">
        <v>15</v>
      </c>
      <c r="E72" s="14">
        <v>100</v>
      </c>
      <c r="F72" s="28">
        <v>27</v>
      </c>
      <c r="G72" s="136">
        <v>31.7</v>
      </c>
      <c r="H72" s="27" t="s">
        <v>396</v>
      </c>
      <c r="I72" s="28">
        <v>2900</v>
      </c>
      <c r="J72" s="38" t="s">
        <v>707</v>
      </c>
      <c r="K72" s="39">
        <v>202</v>
      </c>
      <c r="L72" s="42">
        <f>0.57*0.37*1.02</f>
        <v>0.21511799999999998</v>
      </c>
      <c r="M72" s="78">
        <v>1856.7570000000001</v>
      </c>
    </row>
    <row r="73" spans="2:13" ht="15" thickBot="1">
      <c r="B73" s="13" t="s">
        <v>780</v>
      </c>
      <c r="C73" s="14">
        <v>15</v>
      </c>
      <c r="D73" s="15">
        <v>20</v>
      </c>
      <c r="E73" s="14">
        <v>100</v>
      </c>
      <c r="F73" s="28">
        <v>33</v>
      </c>
      <c r="G73" s="136">
        <v>37.200000000000003</v>
      </c>
      <c r="H73" s="27" t="s">
        <v>396</v>
      </c>
      <c r="I73" s="28">
        <v>2900</v>
      </c>
      <c r="J73" s="38" t="s">
        <v>707</v>
      </c>
      <c r="K73" s="39">
        <v>217</v>
      </c>
      <c r="L73" s="42">
        <f>0.57*0.37*1.02</f>
        <v>0.21511799999999998</v>
      </c>
      <c r="M73" s="78">
        <v>1997.415</v>
      </c>
    </row>
    <row r="74" spans="2:13" ht="15" thickBot="1">
      <c r="B74" s="13" t="s">
        <v>781</v>
      </c>
      <c r="C74" s="14">
        <v>18.5</v>
      </c>
      <c r="D74" s="15">
        <v>25</v>
      </c>
      <c r="E74" s="14">
        <v>100</v>
      </c>
      <c r="F74" s="28">
        <v>40</v>
      </c>
      <c r="G74" s="136">
        <v>44</v>
      </c>
      <c r="H74" s="27" t="s">
        <v>396</v>
      </c>
      <c r="I74" s="28">
        <v>2900</v>
      </c>
      <c r="J74" s="38" t="s">
        <v>707</v>
      </c>
      <c r="K74" s="39">
        <v>236</v>
      </c>
      <c r="L74" s="42">
        <f>0.57*0.37*1.07</f>
        <v>0.22566299999999997</v>
      </c>
      <c r="M74" s="78">
        <v>2090.9490000000005</v>
      </c>
    </row>
    <row r="75" spans="2:13" ht="15" thickBot="1">
      <c r="B75" s="13" t="s">
        <v>782</v>
      </c>
      <c r="C75" s="14">
        <v>22</v>
      </c>
      <c r="D75" s="15">
        <v>30</v>
      </c>
      <c r="E75" s="14">
        <v>100</v>
      </c>
      <c r="F75" s="28">
        <v>48</v>
      </c>
      <c r="G75" s="136">
        <v>51</v>
      </c>
      <c r="H75" s="27" t="s">
        <v>396</v>
      </c>
      <c r="I75" s="28">
        <v>2900</v>
      </c>
      <c r="J75" s="38" t="s">
        <v>707</v>
      </c>
      <c r="K75" s="39">
        <v>289</v>
      </c>
      <c r="L75" s="42">
        <f>0.57*0.37*1.11</f>
        <v>0.234099</v>
      </c>
      <c r="M75" s="78">
        <v>2500.7849999999999</v>
      </c>
    </row>
    <row r="76" spans="2:13" ht="15" thickBot="1">
      <c r="B76" s="13" t="s">
        <v>783</v>
      </c>
      <c r="C76" s="14">
        <v>30</v>
      </c>
      <c r="D76" s="15">
        <v>40</v>
      </c>
      <c r="E76" s="14">
        <v>130</v>
      </c>
      <c r="F76" s="28">
        <v>52</v>
      </c>
      <c r="G76" s="136">
        <v>59</v>
      </c>
      <c r="H76" s="27" t="s">
        <v>396</v>
      </c>
      <c r="I76" s="28">
        <v>2900</v>
      </c>
      <c r="J76" s="38" t="s">
        <v>707</v>
      </c>
      <c r="K76" s="39">
        <v>356</v>
      </c>
      <c r="L76" s="42">
        <f>0.57*0.42*1.18</f>
        <v>0.28249199999999997</v>
      </c>
      <c r="M76" s="78">
        <v>3239.0609999999997</v>
      </c>
    </row>
    <row r="77" spans="2:13" ht="15" thickBot="1">
      <c r="B77" s="13" t="s">
        <v>784</v>
      </c>
      <c r="C77" s="14">
        <v>5.5</v>
      </c>
      <c r="D77" s="15">
        <v>7.5</v>
      </c>
      <c r="E77" s="14">
        <v>120</v>
      </c>
      <c r="F77" s="28">
        <v>11</v>
      </c>
      <c r="G77" s="136">
        <v>13.8</v>
      </c>
      <c r="H77" s="27" t="s">
        <v>431</v>
      </c>
      <c r="I77" s="28">
        <v>1450</v>
      </c>
      <c r="J77" s="38" t="s">
        <v>707</v>
      </c>
      <c r="K77" s="39">
        <v>155</v>
      </c>
      <c r="L77" s="42">
        <f>0.64*0.38*0.89</f>
        <v>0.216448</v>
      </c>
      <c r="M77" s="78">
        <v>1727.88</v>
      </c>
    </row>
    <row r="78" spans="2:13" ht="15" thickBot="1">
      <c r="B78" s="13" t="s">
        <v>785</v>
      </c>
      <c r="C78" s="14">
        <v>7.5</v>
      </c>
      <c r="D78" s="15">
        <v>10</v>
      </c>
      <c r="E78" s="14">
        <v>120</v>
      </c>
      <c r="F78" s="28">
        <v>14</v>
      </c>
      <c r="G78" s="136">
        <v>15.9</v>
      </c>
      <c r="H78" s="27" t="s">
        <v>431</v>
      </c>
      <c r="I78" s="28">
        <v>1450</v>
      </c>
      <c r="J78" s="38" t="s">
        <v>707</v>
      </c>
      <c r="K78" s="39">
        <v>165</v>
      </c>
      <c r="L78" s="42">
        <f>0.64*0.38*0.89</f>
        <v>0.216448</v>
      </c>
      <c r="M78" s="78">
        <v>1780.7159999999999</v>
      </c>
    </row>
    <row r="79" spans="2:13" ht="15" thickBot="1">
      <c r="B79" s="13" t="s">
        <v>786</v>
      </c>
      <c r="C79" s="14">
        <v>11</v>
      </c>
      <c r="D79" s="15">
        <v>15</v>
      </c>
      <c r="E79" s="14">
        <v>140</v>
      </c>
      <c r="F79" s="28">
        <v>19</v>
      </c>
      <c r="G79" s="136">
        <v>22</v>
      </c>
      <c r="H79" s="27" t="s">
        <v>431</v>
      </c>
      <c r="I79" s="28">
        <v>1450</v>
      </c>
      <c r="J79" s="38" t="s">
        <v>707</v>
      </c>
      <c r="K79" s="39">
        <v>276</v>
      </c>
      <c r="L79" s="42">
        <f>0.68*0.41*1.08</f>
        <v>0.30110400000000004</v>
      </c>
      <c r="M79" s="78">
        <v>2565.402</v>
      </c>
    </row>
    <row r="80" spans="2:13" ht="15" thickBot="1">
      <c r="B80" s="13" t="s">
        <v>787</v>
      </c>
      <c r="C80" s="14">
        <v>15</v>
      </c>
      <c r="D80" s="15">
        <v>20</v>
      </c>
      <c r="E80" s="14">
        <v>160</v>
      </c>
      <c r="F80" s="28">
        <v>22</v>
      </c>
      <c r="G80" s="136">
        <v>26.6</v>
      </c>
      <c r="H80" s="27" t="s">
        <v>431</v>
      </c>
      <c r="I80" s="28">
        <v>1450</v>
      </c>
      <c r="J80" s="38" t="s">
        <v>707</v>
      </c>
      <c r="K80" s="39">
        <v>341</v>
      </c>
      <c r="L80" s="42">
        <f>0.82*0.46*1.17</f>
        <v>0.44132399999999994</v>
      </c>
      <c r="M80" s="78">
        <v>2905.2659999999996</v>
      </c>
    </row>
    <row r="81" spans="2:13" ht="15" thickBot="1">
      <c r="B81" s="13" t="s">
        <v>788</v>
      </c>
      <c r="C81" s="14">
        <v>18.5</v>
      </c>
      <c r="D81" s="15">
        <v>25</v>
      </c>
      <c r="E81" s="14">
        <v>160</v>
      </c>
      <c r="F81" s="28">
        <v>28</v>
      </c>
      <c r="G81" s="136">
        <v>31</v>
      </c>
      <c r="H81" s="27" t="s">
        <v>431</v>
      </c>
      <c r="I81" s="28">
        <v>1450</v>
      </c>
      <c r="J81" s="38" t="s">
        <v>707</v>
      </c>
      <c r="K81" s="39">
        <v>372</v>
      </c>
      <c r="L81" s="42">
        <f>0.82*0.46*1.2</f>
        <v>0.45263999999999993</v>
      </c>
      <c r="M81" s="78">
        <v>3291.54</v>
      </c>
    </row>
    <row r="82" spans="2:13" ht="15" thickBot="1">
      <c r="B82" s="13" t="s">
        <v>789</v>
      </c>
      <c r="C82" s="14">
        <v>22</v>
      </c>
      <c r="D82" s="15">
        <v>30</v>
      </c>
      <c r="E82" s="14">
        <v>160</v>
      </c>
      <c r="F82" s="28">
        <v>32</v>
      </c>
      <c r="G82" s="136">
        <v>34.6</v>
      </c>
      <c r="H82" s="27" t="s">
        <v>431</v>
      </c>
      <c r="I82" s="28">
        <v>1450</v>
      </c>
      <c r="J82" s="38" t="s">
        <v>707</v>
      </c>
      <c r="K82" s="39">
        <v>394</v>
      </c>
      <c r="L82" s="42">
        <f>0.82*0.46*1.24</f>
        <v>0.46772799999999998</v>
      </c>
      <c r="M82" s="78">
        <v>3414.7049999999999</v>
      </c>
    </row>
    <row r="83" spans="2:13" ht="15" thickBot="1">
      <c r="B83" s="13" t="s">
        <v>790</v>
      </c>
      <c r="C83" s="14">
        <v>30</v>
      </c>
      <c r="D83" s="15">
        <v>40</v>
      </c>
      <c r="E83" s="14">
        <v>160</v>
      </c>
      <c r="F83" s="28">
        <v>40</v>
      </c>
      <c r="G83" s="136">
        <v>46.1</v>
      </c>
      <c r="H83" s="27" t="s">
        <v>431</v>
      </c>
      <c r="I83" s="28">
        <v>1450</v>
      </c>
      <c r="J83" s="38" t="s">
        <v>707</v>
      </c>
      <c r="K83" s="39">
        <v>491</v>
      </c>
      <c r="L83" s="42">
        <f>0.82*0.51*1.23</f>
        <v>0.5143859999999999</v>
      </c>
      <c r="M83" s="78">
        <v>4146.9119999999994</v>
      </c>
    </row>
    <row r="84" spans="2:13" ht="15" thickBot="1">
      <c r="B84" s="13" t="s">
        <v>791</v>
      </c>
      <c r="C84" s="14">
        <v>37</v>
      </c>
      <c r="D84" s="15">
        <v>50</v>
      </c>
      <c r="E84" s="14">
        <v>160</v>
      </c>
      <c r="F84" s="28">
        <v>48</v>
      </c>
      <c r="G84" s="136">
        <v>53</v>
      </c>
      <c r="H84" s="27" t="s">
        <v>431</v>
      </c>
      <c r="I84" s="28">
        <v>1450</v>
      </c>
      <c r="J84" s="38" t="s">
        <v>707</v>
      </c>
      <c r="K84" s="39">
        <v>530</v>
      </c>
      <c r="L84" s="42">
        <f>0.82*0.51*1.29</f>
        <v>0.53947800000000001</v>
      </c>
      <c r="M84" s="78">
        <v>4861.2690000000002</v>
      </c>
    </row>
    <row r="85" spans="2:13" ht="15" thickBot="1">
      <c r="B85" s="13" t="s">
        <v>792</v>
      </c>
      <c r="C85" s="14">
        <v>11</v>
      </c>
      <c r="D85" s="15">
        <v>15</v>
      </c>
      <c r="E85" s="14">
        <v>200</v>
      </c>
      <c r="F85" s="28">
        <v>12.5</v>
      </c>
      <c r="G85" s="136">
        <v>16.100000000000001</v>
      </c>
      <c r="H85" s="27" t="s">
        <v>468</v>
      </c>
      <c r="I85" s="28">
        <v>1450</v>
      </c>
      <c r="J85" s="38" t="s">
        <v>707</v>
      </c>
      <c r="K85" s="39">
        <v>282</v>
      </c>
      <c r="L85" s="42">
        <f>0.68*0.42*1.09</f>
        <v>0.31130400000000003</v>
      </c>
      <c r="M85" s="78">
        <v>2676.7859999999996</v>
      </c>
    </row>
    <row r="86" spans="2:13" ht="15" thickBot="1">
      <c r="B86" s="13" t="s">
        <v>793</v>
      </c>
      <c r="C86" s="14">
        <v>15</v>
      </c>
      <c r="D86" s="15">
        <v>20</v>
      </c>
      <c r="E86" s="14">
        <v>200</v>
      </c>
      <c r="F86" s="28">
        <v>17</v>
      </c>
      <c r="G86" s="136">
        <v>19.5</v>
      </c>
      <c r="H86" s="27" t="s">
        <v>468</v>
      </c>
      <c r="I86" s="28">
        <v>1450</v>
      </c>
      <c r="J86" s="38" t="s">
        <v>707</v>
      </c>
      <c r="K86" s="39">
        <v>304</v>
      </c>
      <c r="L86" s="42">
        <f>0.68*0.42*1.14</f>
        <v>0.32558399999999998</v>
      </c>
      <c r="M86" s="78">
        <v>2840.6490000000003</v>
      </c>
    </row>
    <row r="87" spans="2:13" ht="15" thickBot="1">
      <c r="B87" s="13" t="s">
        <v>794</v>
      </c>
      <c r="C87" s="14">
        <v>18.5</v>
      </c>
      <c r="D87" s="15">
        <v>25</v>
      </c>
      <c r="E87" s="14">
        <v>200</v>
      </c>
      <c r="F87" s="28">
        <v>22</v>
      </c>
      <c r="G87" s="136">
        <v>23.6</v>
      </c>
      <c r="H87" s="27" t="s">
        <v>468</v>
      </c>
      <c r="I87" s="28">
        <v>1450</v>
      </c>
      <c r="J87" s="38" t="s">
        <v>707</v>
      </c>
      <c r="K87" s="39">
        <v>335</v>
      </c>
      <c r="L87" s="42">
        <f>0.68*0.42*1.17</f>
        <v>0.334152</v>
      </c>
      <c r="M87" s="78">
        <v>3344.3759999999997</v>
      </c>
    </row>
    <row r="88" spans="2:13" ht="15" thickBot="1">
      <c r="B88" s="13" t="s">
        <v>795</v>
      </c>
      <c r="C88" s="14">
        <v>22</v>
      </c>
      <c r="D88" s="15">
        <v>30</v>
      </c>
      <c r="E88" s="14">
        <v>200</v>
      </c>
      <c r="F88" s="28">
        <v>25</v>
      </c>
      <c r="G88" s="136">
        <v>28.1</v>
      </c>
      <c r="H88" s="27" t="s">
        <v>468</v>
      </c>
      <c r="I88" s="28">
        <v>1450</v>
      </c>
      <c r="J88" s="38" t="s">
        <v>707</v>
      </c>
      <c r="K88" s="39">
        <v>397</v>
      </c>
      <c r="L88" s="42">
        <f>0.82*0.47*1.18</f>
        <v>0.45477199999999995</v>
      </c>
      <c r="M88" s="78">
        <v>3485.0340000000006</v>
      </c>
    </row>
    <row r="89" spans="2:13" ht="15" thickBot="1">
      <c r="B89" s="13" t="s">
        <v>796</v>
      </c>
      <c r="C89" s="14">
        <v>30</v>
      </c>
      <c r="D89" s="15">
        <v>40</v>
      </c>
      <c r="E89" s="14">
        <v>200</v>
      </c>
      <c r="F89" s="28">
        <v>33</v>
      </c>
      <c r="G89" s="136">
        <v>35.5</v>
      </c>
      <c r="H89" s="27" t="s">
        <v>468</v>
      </c>
      <c r="I89" s="28">
        <v>1450</v>
      </c>
      <c r="J89" s="38" t="s">
        <v>707</v>
      </c>
      <c r="K89" s="39">
        <v>479</v>
      </c>
      <c r="L89" s="42">
        <f>0.82*0.47*1.26</f>
        <v>0.48560399999999998</v>
      </c>
      <c r="M89" s="78">
        <v>4264.0080000000007</v>
      </c>
    </row>
    <row r="90" spans="2:13" ht="15" thickBot="1">
      <c r="B90" s="13" t="s">
        <v>797</v>
      </c>
      <c r="C90" s="14">
        <v>37</v>
      </c>
      <c r="D90" s="15">
        <v>50</v>
      </c>
      <c r="E90" s="14">
        <v>200</v>
      </c>
      <c r="F90" s="28">
        <v>40</v>
      </c>
      <c r="G90" s="136">
        <v>43.1</v>
      </c>
      <c r="H90" s="27" t="s">
        <v>468</v>
      </c>
      <c r="I90" s="28">
        <v>1450</v>
      </c>
      <c r="J90" s="38" t="s">
        <v>707</v>
      </c>
      <c r="K90" s="39">
        <v>564</v>
      </c>
      <c r="L90" s="42">
        <f>0.92*0.54*1.33</f>
        <v>0.66074400000000011</v>
      </c>
      <c r="M90" s="78">
        <v>4955.16</v>
      </c>
    </row>
    <row r="91" spans="2:13" ht="15" thickBot="1">
      <c r="B91" s="13" t="s">
        <v>798</v>
      </c>
      <c r="C91" s="14">
        <v>45</v>
      </c>
      <c r="D91" s="15">
        <v>60</v>
      </c>
      <c r="E91" s="14">
        <v>200</v>
      </c>
      <c r="F91" s="28">
        <v>50</v>
      </c>
      <c r="G91" s="136">
        <v>52.4</v>
      </c>
      <c r="H91" s="27" t="s">
        <v>468</v>
      </c>
      <c r="I91" s="28">
        <v>1450</v>
      </c>
      <c r="J91" s="38" t="s">
        <v>707</v>
      </c>
      <c r="K91" s="39">
        <v>616</v>
      </c>
      <c r="L91" s="42">
        <f>0.92*0.54*1.33</f>
        <v>0.66074400000000011</v>
      </c>
      <c r="M91" s="78">
        <v>5827.6680000000006</v>
      </c>
    </row>
    <row r="92" spans="2:13" ht="15" thickBot="1">
      <c r="B92" s="13" t="s">
        <v>799</v>
      </c>
      <c r="C92" s="14">
        <v>18.5</v>
      </c>
      <c r="D92" s="15">
        <v>25</v>
      </c>
      <c r="E92" s="14">
        <v>300</v>
      </c>
      <c r="F92" s="28">
        <v>16</v>
      </c>
      <c r="G92" s="136">
        <v>22.5</v>
      </c>
      <c r="H92" s="27" t="s">
        <v>800</v>
      </c>
      <c r="I92" s="28">
        <v>1450</v>
      </c>
      <c r="J92" s="38" t="s">
        <v>707</v>
      </c>
      <c r="K92" s="39">
        <v>469</v>
      </c>
      <c r="L92" s="42">
        <f>1.02*0.52*1.39</f>
        <v>0.73725599999999991</v>
      </c>
      <c r="M92" s="78">
        <v>4503.9119999999994</v>
      </c>
    </row>
    <row r="93" spans="2:13" ht="15" thickBot="1">
      <c r="B93" s="13" t="s">
        <v>801</v>
      </c>
      <c r="C93" s="14">
        <v>22</v>
      </c>
      <c r="D93" s="15">
        <v>30</v>
      </c>
      <c r="E93" s="14">
        <v>300</v>
      </c>
      <c r="F93" s="28">
        <v>19</v>
      </c>
      <c r="G93" s="136">
        <v>24.4</v>
      </c>
      <c r="H93" s="27" t="s">
        <v>800</v>
      </c>
      <c r="I93" s="28">
        <v>1450</v>
      </c>
      <c r="J93" s="38" t="s">
        <v>707</v>
      </c>
      <c r="K93" s="39">
        <v>487</v>
      </c>
      <c r="L93" s="42">
        <f>1.02*0.52*1.43</f>
        <v>0.75847199999999992</v>
      </c>
      <c r="M93" s="78">
        <v>4527.4740000000002</v>
      </c>
    </row>
    <row r="94" spans="2:13" ht="15" thickBot="1">
      <c r="B94" s="13" t="s">
        <v>802</v>
      </c>
      <c r="C94" s="14">
        <v>30</v>
      </c>
      <c r="D94" s="15">
        <v>40</v>
      </c>
      <c r="E94" s="14">
        <v>300</v>
      </c>
      <c r="F94" s="28">
        <v>24</v>
      </c>
      <c r="G94" s="136">
        <v>26.1</v>
      </c>
      <c r="H94" s="27" t="s">
        <v>800</v>
      </c>
      <c r="I94" s="28">
        <v>1450</v>
      </c>
      <c r="J94" s="38" t="s">
        <v>707</v>
      </c>
      <c r="K94" s="39">
        <v>603</v>
      </c>
      <c r="L94" s="42">
        <f>1.12*0.58*1.46</f>
        <v>0.94841600000000004</v>
      </c>
      <c r="M94" s="78">
        <v>5681.2980000000007</v>
      </c>
    </row>
    <row r="95" spans="2:13" ht="15" thickBot="1">
      <c r="B95" s="13" t="s">
        <v>803</v>
      </c>
      <c r="C95" s="14">
        <v>37</v>
      </c>
      <c r="D95" s="15">
        <v>50</v>
      </c>
      <c r="E95" s="14">
        <v>300</v>
      </c>
      <c r="F95" s="28">
        <v>31</v>
      </c>
      <c r="G95" s="136">
        <v>35.4</v>
      </c>
      <c r="H95" s="27" t="s">
        <v>800</v>
      </c>
      <c r="I95" s="28">
        <v>1450</v>
      </c>
      <c r="J95" s="38" t="s">
        <v>707</v>
      </c>
      <c r="K95" s="39">
        <v>671</v>
      </c>
      <c r="L95" s="42">
        <f>1.12*0.58*1.52</f>
        <v>0.98739200000000016</v>
      </c>
      <c r="M95" s="78">
        <v>6179.313000000001</v>
      </c>
    </row>
    <row r="96" spans="2:13" ht="15" thickBot="1">
      <c r="B96" s="13" t="s">
        <v>804</v>
      </c>
      <c r="C96" s="14">
        <v>45</v>
      </c>
      <c r="D96" s="15">
        <v>60</v>
      </c>
      <c r="E96" s="14">
        <v>300</v>
      </c>
      <c r="F96" s="28">
        <v>36</v>
      </c>
      <c r="G96" s="136">
        <v>39.5</v>
      </c>
      <c r="H96" s="27" t="s">
        <v>800</v>
      </c>
      <c r="I96" s="28">
        <v>1450</v>
      </c>
      <c r="J96" s="38" t="s">
        <v>707</v>
      </c>
      <c r="K96" s="39">
        <v>718</v>
      </c>
      <c r="L96" s="42">
        <f>1.12*0.58*1.54</f>
        <v>1.0003840000000002</v>
      </c>
      <c r="M96" s="78">
        <v>7057.89</v>
      </c>
    </row>
    <row r="97" spans="2:13" ht="15" thickBot="1">
      <c r="B97" s="13" t="s">
        <v>805</v>
      </c>
      <c r="C97" s="14">
        <v>55</v>
      </c>
      <c r="D97" s="15">
        <v>75</v>
      </c>
      <c r="E97" s="14">
        <v>300</v>
      </c>
      <c r="F97" s="28">
        <v>47</v>
      </c>
      <c r="G97" s="136">
        <v>50.6</v>
      </c>
      <c r="H97" s="27" t="s">
        <v>800</v>
      </c>
      <c r="I97" s="28">
        <v>1450</v>
      </c>
      <c r="J97" s="38" t="s">
        <v>707</v>
      </c>
      <c r="K97" s="39">
        <v>821</v>
      </c>
      <c r="L97" s="42">
        <f>1.12*0.6*1.64</f>
        <v>1.1020799999999999</v>
      </c>
      <c r="M97" s="78">
        <v>8264.1930000000011</v>
      </c>
    </row>
    <row r="98" spans="2:13" ht="15" thickBot="1">
      <c r="B98" s="13" t="s">
        <v>806</v>
      </c>
      <c r="C98" s="14">
        <v>75</v>
      </c>
      <c r="D98" s="15">
        <v>100</v>
      </c>
      <c r="E98" s="14">
        <v>300</v>
      </c>
      <c r="F98" s="28">
        <v>53</v>
      </c>
      <c r="G98" s="136">
        <v>55.7</v>
      </c>
      <c r="H98" s="27" t="s">
        <v>800</v>
      </c>
      <c r="I98" s="28">
        <v>1450</v>
      </c>
      <c r="J98" s="38" t="s">
        <v>707</v>
      </c>
      <c r="K98" s="39">
        <v>957</v>
      </c>
      <c r="L98" s="42">
        <f>1.12*0.6*1.71</f>
        <v>1.1491200000000001</v>
      </c>
      <c r="M98" s="78">
        <v>9558.6749999999993</v>
      </c>
    </row>
    <row r="99" spans="2:13" ht="15" thickBot="1">
      <c r="B99" s="13" t="s">
        <v>807</v>
      </c>
      <c r="C99" s="14">
        <v>22</v>
      </c>
      <c r="D99" s="15">
        <v>30</v>
      </c>
      <c r="E99" s="14">
        <v>400</v>
      </c>
      <c r="F99" s="28">
        <v>12.5</v>
      </c>
      <c r="G99" s="136">
        <v>17.899999999999999</v>
      </c>
      <c r="H99" s="27" t="s">
        <v>800</v>
      </c>
      <c r="I99" s="28">
        <v>1450</v>
      </c>
      <c r="J99" s="38" t="s">
        <v>707</v>
      </c>
      <c r="K99" s="39">
        <v>485</v>
      </c>
      <c r="L99" s="42">
        <f>1.02*0.52*1.42</f>
        <v>0.75316799999999995</v>
      </c>
      <c r="M99" s="78">
        <v>4574.241</v>
      </c>
    </row>
    <row r="100" spans="2:13" ht="15" thickBot="1">
      <c r="B100" s="13" t="s">
        <v>808</v>
      </c>
      <c r="C100" s="14">
        <v>30</v>
      </c>
      <c r="D100" s="15">
        <v>40</v>
      </c>
      <c r="E100" s="14">
        <v>400</v>
      </c>
      <c r="F100" s="28">
        <v>20</v>
      </c>
      <c r="G100" s="136">
        <v>24.8</v>
      </c>
      <c r="H100" s="27" t="s">
        <v>800</v>
      </c>
      <c r="I100" s="28">
        <v>1450</v>
      </c>
      <c r="J100" s="38" t="s">
        <v>707</v>
      </c>
      <c r="K100" s="39">
        <v>546</v>
      </c>
      <c r="L100" s="42">
        <f>1.02*0.52*1.45</f>
        <v>0.76907999999999999</v>
      </c>
      <c r="M100" s="78">
        <v>5341.7910000000002</v>
      </c>
    </row>
    <row r="101" spans="2:13" ht="15" thickBot="1">
      <c r="B101" s="13" t="s">
        <v>809</v>
      </c>
      <c r="C101" s="14">
        <v>37</v>
      </c>
      <c r="D101" s="15">
        <v>50</v>
      </c>
      <c r="E101" s="14">
        <v>400</v>
      </c>
      <c r="F101" s="28">
        <v>23</v>
      </c>
      <c r="G101" s="136">
        <v>28.3</v>
      </c>
      <c r="H101" s="27" t="s">
        <v>800</v>
      </c>
      <c r="I101" s="28">
        <v>1450</v>
      </c>
      <c r="J101" s="38" t="s">
        <v>707</v>
      </c>
      <c r="K101" s="39">
        <v>671</v>
      </c>
      <c r="L101" s="42">
        <f>1.12*0.58*1.51</f>
        <v>0.9808960000000001</v>
      </c>
      <c r="M101" s="78">
        <v>6179.313000000001</v>
      </c>
    </row>
    <row r="102" spans="2:13" ht="15" thickBot="1">
      <c r="B102" s="13" t="s">
        <v>810</v>
      </c>
      <c r="C102" s="14">
        <v>45</v>
      </c>
      <c r="D102" s="15">
        <v>60</v>
      </c>
      <c r="E102" s="14">
        <v>400</v>
      </c>
      <c r="F102" s="28">
        <v>27</v>
      </c>
      <c r="G102" s="136">
        <v>32.5</v>
      </c>
      <c r="H102" s="27" t="s">
        <v>800</v>
      </c>
      <c r="I102" s="28">
        <v>1450</v>
      </c>
      <c r="J102" s="38" t="s">
        <v>707</v>
      </c>
      <c r="K102" s="39">
        <v>708</v>
      </c>
      <c r="L102" s="42">
        <f>1.12*0.58*1.53</f>
        <v>0.9938880000000001</v>
      </c>
      <c r="M102" s="78">
        <v>7057.89</v>
      </c>
    </row>
    <row r="103" spans="2:13" ht="15" thickBot="1">
      <c r="B103" s="13" t="s">
        <v>811</v>
      </c>
      <c r="C103" s="14">
        <v>55</v>
      </c>
      <c r="D103" s="15">
        <v>75</v>
      </c>
      <c r="E103" s="14">
        <v>400</v>
      </c>
      <c r="F103" s="28">
        <v>32</v>
      </c>
      <c r="G103" s="136">
        <v>38</v>
      </c>
      <c r="H103" s="27" t="s">
        <v>800</v>
      </c>
      <c r="I103" s="28">
        <v>1450</v>
      </c>
      <c r="J103" s="38" t="s">
        <v>707</v>
      </c>
      <c r="K103" s="39">
        <v>783</v>
      </c>
      <c r="L103" s="42">
        <f>1.12*0.58*1.61</f>
        <v>1.0458560000000001</v>
      </c>
      <c r="M103" s="78">
        <v>7883.6310000000012</v>
      </c>
    </row>
    <row r="104" spans="2:13" ht="15" thickBot="1">
      <c r="B104" s="13" t="s">
        <v>812</v>
      </c>
      <c r="C104" s="14">
        <v>75</v>
      </c>
      <c r="D104" s="15">
        <v>100</v>
      </c>
      <c r="E104" s="14">
        <v>400</v>
      </c>
      <c r="F104" s="28">
        <v>43</v>
      </c>
      <c r="G104" s="136">
        <v>47.5</v>
      </c>
      <c r="H104" s="27" t="s">
        <v>800</v>
      </c>
      <c r="I104" s="28">
        <v>1450</v>
      </c>
      <c r="J104" s="38" t="s">
        <v>707</v>
      </c>
      <c r="K104" s="39">
        <v>962</v>
      </c>
      <c r="L104" s="42">
        <f>1.12*0.6*1.68</f>
        <v>1.12896</v>
      </c>
      <c r="M104" s="78">
        <v>9558.6749999999993</v>
      </c>
    </row>
    <row r="105" spans="2:13" ht="15" thickBot="1">
      <c r="B105" s="13" t="s">
        <v>813</v>
      </c>
      <c r="C105" s="14">
        <v>90</v>
      </c>
      <c r="D105" s="15">
        <v>125</v>
      </c>
      <c r="E105" s="14">
        <v>400</v>
      </c>
      <c r="F105" s="28">
        <v>50</v>
      </c>
      <c r="G105" s="136">
        <v>53</v>
      </c>
      <c r="H105" s="27" t="s">
        <v>800</v>
      </c>
      <c r="I105" s="28">
        <v>1450</v>
      </c>
      <c r="J105" s="38" t="s">
        <v>707</v>
      </c>
      <c r="K105" s="39">
        <v>1056</v>
      </c>
      <c r="L105" s="42">
        <f>1.12*0.6*1.73</f>
        <v>1.16256</v>
      </c>
      <c r="M105" s="78">
        <v>10343.361000000001</v>
      </c>
    </row>
    <row r="106" spans="2:13" ht="15" thickBot="1">
      <c r="B106" s="13" t="s">
        <v>814</v>
      </c>
      <c r="C106" s="14">
        <v>30</v>
      </c>
      <c r="D106" s="15">
        <v>40</v>
      </c>
      <c r="E106" s="14">
        <v>500</v>
      </c>
      <c r="F106" s="28">
        <v>16</v>
      </c>
      <c r="G106" s="136">
        <v>20.8</v>
      </c>
      <c r="H106" s="27" t="s">
        <v>815</v>
      </c>
      <c r="I106" s="28">
        <v>1450</v>
      </c>
      <c r="J106" s="38" t="s">
        <v>707</v>
      </c>
      <c r="K106" s="39">
        <v>620</v>
      </c>
      <c r="L106" s="42">
        <f>1.12*0.58*1.55</f>
        <v>1.0068800000000002</v>
      </c>
      <c r="M106" s="78">
        <v>5944.7640000000001</v>
      </c>
    </row>
    <row r="107" spans="2:13" ht="15" thickBot="1">
      <c r="B107" s="13" t="s">
        <v>816</v>
      </c>
      <c r="C107" s="14">
        <v>37</v>
      </c>
      <c r="D107" s="15">
        <v>50</v>
      </c>
      <c r="E107" s="14">
        <v>500</v>
      </c>
      <c r="F107" s="28">
        <v>19</v>
      </c>
      <c r="G107" s="136">
        <v>23.5</v>
      </c>
      <c r="H107" s="27" t="s">
        <v>815</v>
      </c>
      <c r="I107" s="28">
        <v>1450</v>
      </c>
      <c r="J107" s="38" t="s">
        <v>707</v>
      </c>
      <c r="K107" s="39">
        <v>684</v>
      </c>
      <c r="L107" s="42">
        <f>1.12*0.58*1.6</f>
        <v>1.0393600000000001</v>
      </c>
      <c r="M107" s="78">
        <v>6337.4639999999999</v>
      </c>
    </row>
    <row r="108" spans="2:13" ht="15" thickBot="1">
      <c r="B108" s="13" t="s">
        <v>817</v>
      </c>
      <c r="C108" s="14">
        <v>45</v>
      </c>
      <c r="D108" s="15">
        <v>60</v>
      </c>
      <c r="E108" s="14">
        <v>500</v>
      </c>
      <c r="F108" s="28">
        <v>22</v>
      </c>
      <c r="G108" s="136">
        <v>26</v>
      </c>
      <c r="H108" s="27" t="s">
        <v>815</v>
      </c>
      <c r="I108" s="28">
        <v>1450</v>
      </c>
      <c r="J108" s="38" t="s">
        <v>707</v>
      </c>
      <c r="K108" s="39">
        <v>721</v>
      </c>
      <c r="L108" s="42">
        <f>1.12*0.58*1.62</f>
        <v>1.0523520000000002</v>
      </c>
      <c r="M108" s="78">
        <v>7292.0819999999994</v>
      </c>
    </row>
    <row r="109" spans="2:13" ht="15" thickBot="1">
      <c r="B109" s="13" t="s">
        <v>818</v>
      </c>
      <c r="C109" s="14">
        <v>55</v>
      </c>
      <c r="D109" s="15">
        <v>75</v>
      </c>
      <c r="E109" s="14">
        <v>500</v>
      </c>
      <c r="F109" s="28">
        <v>29</v>
      </c>
      <c r="G109" s="136">
        <v>35</v>
      </c>
      <c r="H109" s="27" t="s">
        <v>815</v>
      </c>
      <c r="I109" s="28">
        <v>1450</v>
      </c>
      <c r="J109" s="38" t="s">
        <v>707</v>
      </c>
      <c r="K109" s="39">
        <v>855</v>
      </c>
      <c r="L109" s="42">
        <f>1.12*0.61*1.72</f>
        <v>1.1751039999999999</v>
      </c>
      <c r="M109" s="78">
        <v>8451.6180000000004</v>
      </c>
    </row>
    <row r="110" spans="2:13" ht="15" thickBot="1">
      <c r="B110" s="13" t="s">
        <v>819</v>
      </c>
      <c r="C110" s="14">
        <v>75</v>
      </c>
      <c r="D110" s="15">
        <v>100</v>
      </c>
      <c r="E110" s="14">
        <v>500</v>
      </c>
      <c r="F110" s="28">
        <v>36</v>
      </c>
      <c r="G110" s="136">
        <v>39.5</v>
      </c>
      <c r="H110" s="27" t="s">
        <v>815</v>
      </c>
      <c r="I110" s="28">
        <v>1450</v>
      </c>
      <c r="J110" s="38" t="s">
        <v>707</v>
      </c>
      <c r="K110" s="39">
        <v>995</v>
      </c>
      <c r="L110" s="42">
        <f>1.12*0.61*1.79</f>
        <v>1.222928</v>
      </c>
      <c r="M110" s="78">
        <v>9851.4150000000009</v>
      </c>
    </row>
    <row r="111" spans="2:13" ht="15" thickBot="1">
      <c r="B111" s="13" t="s">
        <v>820</v>
      </c>
      <c r="C111" s="14">
        <v>90</v>
      </c>
      <c r="D111" s="15">
        <v>125</v>
      </c>
      <c r="E111" s="14">
        <v>500</v>
      </c>
      <c r="F111" s="28">
        <v>47</v>
      </c>
      <c r="G111" s="136">
        <v>54</v>
      </c>
      <c r="H111" s="27" t="s">
        <v>815</v>
      </c>
      <c r="I111" s="28">
        <v>1450</v>
      </c>
      <c r="J111" s="38" t="s">
        <v>707</v>
      </c>
      <c r="K111" s="39">
        <v>1133</v>
      </c>
      <c r="L111" s="42">
        <f>1.22*0.66*1.82</f>
        <v>1.4654640000000001</v>
      </c>
      <c r="M111" s="78">
        <v>10952.76</v>
      </c>
    </row>
    <row r="112" spans="2:13" ht="15" thickBot="1">
      <c r="B112" s="13" t="s">
        <v>821</v>
      </c>
      <c r="C112" s="14">
        <v>110</v>
      </c>
      <c r="D112" s="15">
        <v>150</v>
      </c>
      <c r="E112" s="14">
        <v>500</v>
      </c>
      <c r="F112" s="28">
        <v>56</v>
      </c>
      <c r="G112" s="136">
        <v>62</v>
      </c>
      <c r="H112" s="27" t="s">
        <v>815</v>
      </c>
      <c r="I112" s="28">
        <v>1450</v>
      </c>
      <c r="J112" s="38" t="s">
        <v>707</v>
      </c>
      <c r="K112" s="39">
        <v>1504</v>
      </c>
      <c r="L112" s="42">
        <f>1.22*0.68*1.98</f>
        <v>1.6426080000000001</v>
      </c>
      <c r="M112" s="78">
        <v>18039.567000000003</v>
      </c>
    </row>
    <row r="113" spans="2:13" ht="15" thickBot="1">
      <c r="B113" s="13" t="s">
        <v>822</v>
      </c>
      <c r="C113" s="14">
        <v>30</v>
      </c>
      <c r="D113" s="15">
        <v>40</v>
      </c>
      <c r="E113" s="14">
        <v>630</v>
      </c>
      <c r="F113" s="28">
        <v>12.5</v>
      </c>
      <c r="G113" s="136">
        <v>19.5</v>
      </c>
      <c r="H113" s="27" t="s">
        <v>815</v>
      </c>
      <c r="I113" s="28">
        <v>1450</v>
      </c>
      <c r="J113" s="38" t="s">
        <v>707</v>
      </c>
      <c r="K113" s="39">
        <v>622</v>
      </c>
      <c r="L113" s="42">
        <f>1.12*0.58*1.53</f>
        <v>0.9938880000000001</v>
      </c>
      <c r="M113" s="78">
        <v>5950.8330000000005</v>
      </c>
    </row>
    <row r="114" spans="2:13" ht="15" thickBot="1">
      <c r="B114" s="13" t="s">
        <v>823</v>
      </c>
      <c r="C114" s="14">
        <v>37</v>
      </c>
      <c r="D114" s="15">
        <v>50</v>
      </c>
      <c r="E114" s="14">
        <v>630</v>
      </c>
      <c r="F114" s="28">
        <v>14</v>
      </c>
      <c r="G114" s="136">
        <v>21</v>
      </c>
      <c r="H114" s="27" t="s">
        <v>815</v>
      </c>
      <c r="I114" s="28">
        <v>1450</v>
      </c>
      <c r="J114" s="38" t="s">
        <v>707</v>
      </c>
      <c r="K114" s="39">
        <v>685</v>
      </c>
      <c r="L114" s="42">
        <f>1.12*0.58*1.59</f>
        <v>1.0328640000000002</v>
      </c>
      <c r="M114" s="78">
        <v>6337.4639999999999</v>
      </c>
    </row>
    <row r="115" spans="2:13" ht="15" thickBot="1">
      <c r="B115" s="13" t="s">
        <v>824</v>
      </c>
      <c r="C115" s="14">
        <v>45</v>
      </c>
      <c r="D115" s="15">
        <v>60</v>
      </c>
      <c r="E115" s="14">
        <v>630</v>
      </c>
      <c r="F115" s="28">
        <v>17</v>
      </c>
      <c r="G115" s="136">
        <v>22.8</v>
      </c>
      <c r="H115" s="27" t="s">
        <v>815</v>
      </c>
      <c r="I115" s="28">
        <v>1450</v>
      </c>
      <c r="J115" s="38" t="s">
        <v>707</v>
      </c>
      <c r="K115" s="39">
        <v>722</v>
      </c>
      <c r="L115" s="42">
        <f>1.12*0.58*1.61</f>
        <v>1.0458560000000001</v>
      </c>
      <c r="M115" s="78">
        <v>7292.0819999999994</v>
      </c>
    </row>
    <row r="116" spans="2:13" ht="15" thickBot="1">
      <c r="B116" s="13" t="s">
        <v>825</v>
      </c>
      <c r="C116" s="14">
        <v>55</v>
      </c>
      <c r="D116" s="15">
        <v>75</v>
      </c>
      <c r="E116" s="14">
        <v>630</v>
      </c>
      <c r="F116" s="28">
        <v>20</v>
      </c>
      <c r="G116" s="136">
        <v>25.5</v>
      </c>
      <c r="H116" s="27" t="s">
        <v>815</v>
      </c>
      <c r="I116" s="28">
        <v>1450</v>
      </c>
      <c r="J116" s="38" t="s">
        <v>707</v>
      </c>
      <c r="K116" s="39">
        <v>799</v>
      </c>
      <c r="L116" s="42">
        <f>1.12*0.58*1.69</f>
        <v>1.0978240000000001</v>
      </c>
      <c r="M116" s="78">
        <v>8141.3850000000002</v>
      </c>
    </row>
    <row r="117" spans="2:13" ht="15" thickBot="1">
      <c r="B117" s="13" t="s">
        <v>826</v>
      </c>
      <c r="C117" s="14">
        <v>75</v>
      </c>
      <c r="D117" s="15">
        <v>100</v>
      </c>
      <c r="E117" s="14">
        <v>630</v>
      </c>
      <c r="F117" s="28">
        <v>26</v>
      </c>
      <c r="G117" s="136">
        <v>32.200000000000003</v>
      </c>
      <c r="H117" s="27" t="s">
        <v>815</v>
      </c>
      <c r="I117" s="28">
        <v>1450</v>
      </c>
      <c r="J117" s="38" t="s">
        <v>707</v>
      </c>
      <c r="K117" s="39">
        <v>993</v>
      </c>
      <c r="L117" s="42">
        <f>1.12*0.61*1.76</f>
        <v>1.2024320000000002</v>
      </c>
      <c r="M117" s="78">
        <v>9851.4150000000009</v>
      </c>
    </row>
    <row r="118" spans="2:13" ht="15" thickBot="1">
      <c r="B118" s="13" t="s">
        <v>827</v>
      </c>
      <c r="C118" s="14">
        <v>90</v>
      </c>
      <c r="D118" s="15">
        <v>125</v>
      </c>
      <c r="E118" s="14">
        <v>630</v>
      </c>
      <c r="F118" s="28">
        <v>32</v>
      </c>
      <c r="G118" s="136">
        <v>37.700000000000003</v>
      </c>
      <c r="H118" s="27" t="s">
        <v>815</v>
      </c>
      <c r="I118" s="28">
        <v>1450</v>
      </c>
      <c r="J118" s="38" t="s">
        <v>707</v>
      </c>
      <c r="K118" s="39">
        <v>1086</v>
      </c>
      <c r="L118" s="42">
        <f>1.12*0.61*1.81</f>
        <v>1.2365920000000001</v>
      </c>
      <c r="M118" s="78">
        <v>10636.458000000001</v>
      </c>
    </row>
    <row r="119" spans="2:13" ht="15" thickBot="1">
      <c r="B119" s="13" t="s">
        <v>828</v>
      </c>
      <c r="C119" s="14">
        <v>110</v>
      </c>
      <c r="D119" s="15">
        <v>150</v>
      </c>
      <c r="E119" s="14">
        <v>630</v>
      </c>
      <c r="F119" s="28">
        <v>40</v>
      </c>
      <c r="G119" s="136">
        <v>46.5</v>
      </c>
      <c r="H119" s="27" t="s">
        <v>815</v>
      </c>
      <c r="I119" s="28">
        <v>1450</v>
      </c>
      <c r="J119" s="38" t="s">
        <v>707</v>
      </c>
      <c r="K119" s="39">
        <v>1503</v>
      </c>
      <c r="L119" s="42">
        <f>1.22*0.68*1.96</f>
        <v>1.6260159999999999</v>
      </c>
      <c r="M119" s="78">
        <v>18057.060000000001</v>
      </c>
    </row>
    <row r="120" spans="2:13" ht="15" thickBot="1">
      <c r="B120" s="13" t="s">
        <v>829</v>
      </c>
      <c r="C120" s="14">
        <v>132</v>
      </c>
      <c r="D120" s="15">
        <v>180</v>
      </c>
      <c r="E120" s="14">
        <v>630</v>
      </c>
      <c r="F120" s="28">
        <v>50</v>
      </c>
      <c r="G120" s="136">
        <v>56.2</v>
      </c>
      <c r="H120" s="27" t="s">
        <v>815</v>
      </c>
      <c r="I120" s="28">
        <v>1450</v>
      </c>
      <c r="J120" s="38" t="s">
        <v>707</v>
      </c>
      <c r="K120" s="39">
        <v>1596</v>
      </c>
      <c r="L120" s="42">
        <f>1.22*0.68*2.11</f>
        <v>1.750456</v>
      </c>
      <c r="M120" s="78">
        <v>18631.115999999998</v>
      </c>
    </row>
    <row r="121" spans="2:13" ht="15" thickBot="1">
      <c r="B121" s="13" t="s">
        <v>2535</v>
      </c>
      <c r="C121" s="14">
        <v>55</v>
      </c>
      <c r="D121" s="15">
        <v>75</v>
      </c>
      <c r="E121" s="14">
        <v>900</v>
      </c>
      <c r="F121" s="28">
        <v>15</v>
      </c>
      <c r="G121" s="136">
        <v>24</v>
      </c>
      <c r="H121" s="27" t="s">
        <v>2139</v>
      </c>
      <c r="I121" s="28">
        <v>1450</v>
      </c>
      <c r="J121" s="38" t="s">
        <v>707</v>
      </c>
      <c r="K121" s="39">
        <v>1024</v>
      </c>
      <c r="L121" s="42">
        <f>1.24*0.64*1.85</f>
        <v>1.4681599999999999</v>
      </c>
      <c r="M121" s="78">
        <v>12560.688</v>
      </c>
    </row>
    <row r="122" spans="2:13" ht="15" thickBot="1">
      <c r="B122" s="13" t="s">
        <v>2536</v>
      </c>
      <c r="C122" s="14">
        <v>75</v>
      </c>
      <c r="D122" s="15">
        <v>100</v>
      </c>
      <c r="E122" s="14">
        <v>900</v>
      </c>
      <c r="F122" s="28">
        <v>20</v>
      </c>
      <c r="G122" s="136">
        <v>27.8</v>
      </c>
      <c r="H122" s="27" t="s">
        <v>2139</v>
      </c>
      <c r="I122" s="28">
        <v>1450</v>
      </c>
      <c r="J122" s="38" t="s">
        <v>707</v>
      </c>
      <c r="K122" s="39">
        <v>1199</v>
      </c>
      <c r="L122" s="42">
        <f>1.24*0.64*1.95</f>
        <v>1.54752</v>
      </c>
      <c r="M122" s="78">
        <v>14032.242</v>
      </c>
    </row>
    <row r="123" spans="2:13" ht="15" thickBot="1">
      <c r="B123" s="13" t="s">
        <v>2537</v>
      </c>
      <c r="C123" s="14">
        <v>90</v>
      </c>
      <c r="D123" s="15">
        <v>125</v>
      </c>
      <c r="E123" s="14">
        <v>900</v>
      </c>
      <c r="F123" s="28">
        <v>25</v>
      </c>
      <c r="G123" s="136">
        <v>31.5</v>
      </c>
      <c r="H123" s="27" t="s">
        <v>2139</v>
      </c>
      <c r="I123" s="28">
        <v>1450</v>
      </c>
      <c r="J123" s="38" t="s">
        <v>707</v>
      </c>
      <c r="K123" s="39">
        <v>1367</v>
      </c>
      <c r="L123" s="42">
        <f>1.24*0.7*1.97</f>
        <v>1.7099599999999999</v>
      </c>
      <c r="M123" s="78">
        <v>16204.23</v>
      </c>
    </row>
    <row r="124" spans="2:13" ht="15" thickBot="1">
      <c r="B124" s="13" t="s">
        <v>2538</v>
      </c>
      <c r="C124" s="14">
        <v>110</v>
      </c>
      <c r="D124" s="15">
        <v>150</v>
      </c>
      <c r="E124" s="14">
        <v>900</v>
      </c>
      <c r="F124" s="28">
        <v>30</v>
      </c>
      <c r="G124" s="136">
        <v>35.799999999999997</v>
      </c>
      <c r="H124" s="27" t="s">
        <v>2139</v>
      </c>
      <c r="I124" s="28">
        <v>1450</v>
      </c>
      <c r="J124" s="38" t="s">
        <v>707</v>
      </c>
      <c r="K124" s="39">
        <v>1723</v>
      </c>
      <c r="L124" s="42">
        <f>1.24*0.7*2.2</f>
        <v>1.9096000000000002</v>
      </c>
      <c r="M124" s="78">
        <v>21974.064000000002</v>
      </c>
    </row>
    <row r="125" spans="2:13" ht="15" thickBot="1">
      <c r="B125" s="13" t="s">
        <v>2539</v>
      </c>
      <c r="C125" s="14">
        <v>132</v>
      </c>
      <c r="D125" s="15">
        <v>180</v>
      </c>
      <c r="E125" s="14">
        <v>900</v>
      </c>
      <c r="F125" s="28">
        <v>35</v>
      </c>
      <c r="G125" s="136">
        <v>40</v>
      </c>
      <c r="H125" s="27" t="s">
        <v>2139</v>
      </c>
      <c r="I125" s="28">
        <v>1450</v>
      </c>
      <c r="J125" s="38" t="s">
        <v>707</v>
      </c>
      <c r="K125" s="39">
        <v>1810</v>
      </c>
      <c r="L125" s="42">
        <f>1.24*0.7*2.3</f>
        <v>1.9963999999999997</v>
      </c>
      <c r="M125" s="78">
        <v>25260.606</v>
      </c>
    </row>
    <row r="126" spans="2:13" ht="15" thickBot="1">
      <c r="B126" s="13" t="s">
        <v>2540</v>
      </c>
      <c r="C126" s="14">
        <v>160</v>
      </c>
      <c r="D126" s="15">
        <v>220</v>
      </c>
      <c r="E126" s="14">
        <v>900</v>
      </c>
      <c r="F126" s="28">
        <v>44</v>
      </c>
      <c r="G126" s="136">
        <v>50</v>
      </c>
      <c r="H126" s="27" t="s">
        <v>2139</v>
      </c>
      <c r="I126" s="28">
        <v>1450</v>
      </c>
      <c r="J126" s="38" t="s">
        <v>707</v>
      </c>
      <c r="K126" s="39">
        <v>1954</v>
      </c>
      <c r="L126" s="42">
        <f>1.24*0.72*2.3</f>
        <v>2.0534399999999997</v>
      </c>
      <c r="M126" s="78">
        <v>28420.77</v>
      </c>
    </row>
    <row r="127" spans="2:13" ht="15" thickBot="1">
      <c r="B127" s="13" t="s">
        <v>2541</v>
      </c>
      <c r="C127" s="14">
        <v>200</v>
      </c>
      <c r="D127" s="15">
        <v>270</v>
      </c>
      <c r="E127" s="14">
        <v>900</v>
      </c>
      <c r="F127" s="28">
        <v>55</v>
      </c>
      <c r="G127" s="136">
        <v>59</v>
      </c>
      <c r="H127" s="27" t="s">
        <v>2139</v>
      </c>
      <c r="I127" s="28">
        <v>1450</v>
      </c>
      <c r="J127" s="38" t="s">
        <v>707</v>
      </c>
      <c r="K127" s="39">
        <v>2069</v>
      </c>
      <c r="L127" s="42">
        <f>1.24*0.72*2.3</f>
        <v>2.0534399999999997</v>
      </c>
      <c r="M127" s="78">
        <v>30023.342999999997</v>
      </c>
    </row>
  </sheetData>
  <mergeCells count="9">
    <mergeCell ref="B11:B12"/>
    <mergeCell ref="C11:D12"/>
    <mergeCell ref="E11:G11"/>
    <mergeCell ref="L3:M3"/>
    <mergeCell ref="C6:L6"/>
    <mergeCell ref="C8:L8"/>
    <mergeCell ref="C10:L10"/>
    <mergeCell ref="C9:L9"/>
    <mergeCell ref="C5:M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>
    <tabColor theme="4" tint="0.59999389629810485"/>
  </sheetPr>
  <dimension ref="B3:O16"/>
  <sheetViews>
    <sheetView workbookViewId="0">
      <selection activeCell="R10" sqref="R10"/>
    </sheetView>
  </sheetViews>
  <sheetFormatPr defaultRowHeight="14.25"/>
  <cols>
    <col min="2" max="2" width="29.75" customWidth="1"/>
    <col min="3" max="3" width="15.75" customWidth="1"/>
  </cols>
  <sheetData>
    <row r="3" spans="2:15" ht="25.5">
      <c r="B3" s="4"/>
      <c r="C3" s="113" t="s">
        <v>2694</v>
      </c>
      <c r="D3" s="62"/>
      <c r="E3" s="62"/>
      <c r="F3" s="62"/>
      <c r="G3" s="62"/>
      <c r="H3" s="62"/>
      <c r="I3" s="62"/>
      <c r="J3" s="17"/>
      <c r="K3" s="62"/>
      <c r="L3" s="29"/>
      <c r="M3" s="29"/>
      <c r="N3" s="62"/>
      <c r="O3" s="62"/>
    </row>
    <row r="4" spans="2:15" ht="23.25" thickBot="1">
      <c r="B4" s="7"/>
      <c r="C4" s="63"/>
      <c r="D4" s="63"/>
      <c r="E4" s="63"/>
      <c r="F4" s="63"/>
      <c r="G4" s="63"/>
      <c r="H4" s="63"/>
      <c r="I4" s="63"/>
      <c r="J4" s="1"/>
      <c r="K4" s="63"/>
      <c r="L4" s="1"/>
      <c r="M4" s="1"/>
      <c r="N4" s="63"/>
      <c r="O4" s="63"/>
    </row>
    <row r="5" spans="2:15" ht="15">
      <c r="B5" s="3"/>
      <c r="C5" s="267" t="s">
        <v>0</v>
      </c>
      <c r="D5" s="255" t="s">
        <v>1</v>
      </c>
      <c r="E5" s="267"/>
      <c r="F5" s="257" t="s">
        <v>2</v>
      </c>
      <c r="G5" s="258"/>
      <c r="H5" s="258"/>
      <c r="I5" s="18" t="s">
        <v>3</v>
      </c>
      <c r="J5" s="19" t="s">
        <v>4</v>
      </c>
      <c r="K5" s="30" t="s">
        <v>5</v>
      </c>
      <c r="L5" s="31" t="s">
        <v>6</v>
      </c>
      <c r="M5" s="31" t="s">
        <v>7</v>
      </c>
      <c r="N5" s="259" t="s">
        <v>8</v>
      </c>
      <c r="O5" s="255"/>
    </row>
    <row r="6" spans="2:15" ht="15">
      <c r="B6" s="9"/>
      <c r="C6" s="268"/>
      <c r="D6" s="256"/>
      <c r="E6" s="268"/>
      <c r="F6" s="20" t="s">
        <v>9</v>
      </c>
      <c r="G6" s="33" t="s">
        <v>10</v>
      </c>
      <c r="H6" s="10" t="s">
        <v>854</v>
      </c>
      <c r="I6" s="21"/>
      <c r="J6" s="22"/>
      <c r="K6" s="32"/>
      <c r="L6" s="33"/>
      <c r="M6" s="33"/>
      <c r="N6" s="260" t="s">
        <v>11</v>
      </c>
      <c r="O6" s="261"/>
    </row>
    <row r="7" spans="2:15" ht="15.75" thickBot="1">
      <c r="B7" s="3"/>
      <c r="C7" s="11"/>
      <c r="D7" s="12" t="s">
        <v>12</v>
      </c>
      <c r="E7" s="11" t="s">
        <v>13</v>
      </c>
      <c r="F7" s="23" t="s">
        <v>14</v>
      </c>
      <c r="G7" s="133" t="s">
        <v>15</v>
      </c>
      <c r="H7" s="134" t="s">
        <v>15</v>
      </c>
      <c r="I7" s="25" t="s">
        <v>16</v>
      </c>
      <c r="J7" s="26" t="s">
        <v>17</v>
      </c>
      <c r="K7" s="34"/>
      <c r="L7" s="35" t="s">
        <v>18</v>
      </c>
      <c r="M7" s="36" t="s">
        <v>19</v>
      </c>
      <c r="N7" s="37" t="s">
        <v>486</v>
      </c>
      <c r="O7" s="43" t="s">
        <v>487</v>
      </c>
    </row>
    <row r="8" spans="2:15" ht="15.75" thickBot="1">
      <c r="B8" s="2"/>
      <c r="C8" s="13" t="s">
        <v>2689</v>
      </c>
      <c r="D8" s="14">
        <v>0.37</v>
      </c>
      <c r="E8" s="15">
        <v>0.5</v>
      </c>
      <c r="F8" s="27">
        <v>1.5</v>
      </c>
      <c r="G8" s="28">
        <v>12</v>
      </c>
      <c r="H8" s="186">
        <v>37</v>
      </c>
      <c r="I8" s="27" t="s">
        <v>23</v>
      </c>
      <c r="J8" s="28">
        <v>2900</v>
      </c>
      <c r="K8" s="38" t="s">
        <v>2690</v>
      </c>
      <c r="L8" s="39">
        <v>6</v>
      </c>
      <c r="M8" s="40">
        <v>9.9000000000000008E-3</v>
      </c>
      <c r="N8" s="78">
        <v>72.332279999999997</v>
      </c>
      <c r="O8" s="78">
        <v>72.332279999999997</v>
      </c>
    </row>
    <row r="9" spans="2:15" ht="15.75" thickBot="1">
      <c r="B9" s="2"/>
      <c r="C9" s="13" t="s">
        <v>2691</v>
      </c>
      <c r="D9" s="14">
        <v>0.6</v>
      </c>
      <c r="E9" s="15">
        <v>0.8</v>
      </c>
      <c r="F9" s="27">
        <v>1.8</v>
      </c>
      <c r="G9" s="28">
        <v>19</v>
      </c>
      <c r="H9" s="186">
        <v>56</v>
      </c>
      <c r="I9" s="27" t="s">
        <v>23</v>
      </c>
      <c r="J9" s="28">
        <v>2900</v>
      </c>
      <c r="K9" s="38" t="s">
        <v>2690</v>
      </c>
      <c r="L9" s="39">
        <v>9</v>
      </c>
      <c r="M9" s="40">
        <f>0.335*0.185*0.23</f>
        <v>1.4254250000000001E-2</v>
      </c>
      <c r="N9" s="78">
        <v>109.30932000000001</v>
      </c>
      <c r="O9" s="78">
        <v>109.30932000000001</v>
      </c>
    </row>
    <row r="10" spans="2:15" ht="15.75" thickBot="1">
      <c r="B10" s="2"/>
      <c r="C10" s="13" t="s">
        <v>2692</v>
      </c>
      <c r="D10" s="14">
        <v>0.75</v>
      </c>
      <c r="E10" s="15">
        <v>1</v>
      </c>
      <c r="F10" s="27">
        <v>2.1</v>
      </c>
      <c r="G10" s="28">
        <v>29</v>
      </c>
      <c r="H10" s="186">
        <v>70</v>
      </c>
      <c r="I10" s="27" t="s">
        <v>23</v>
      </c>
      <c r="J10" s="28">
        <v>2900</v>
      </c>
      <c r="K10" s="38" t="s">
        <v>2690</v>
      </c>
      <c r="L10" s="39">
        <v>11</v>
      </c>
      <c r="M10" s="40">
        <f>0.335*0.185*0.23</f>
        <v>1.4254250000000001E-2</v>
      </c>
      <c r="N10" s="78">
        <v>131.04144000000002</v>
      </c>
      <c r="O10" s="78">
        <v>131.04144000000002</v>
      </c>
    </row>
    <row r="11" spans="2:15" ht="23.25" thickBot="1">
      <c r="B11" s="7"/>
      <c r="C11" s="63"/>
      <c r="D11" s="63"/>
      <c r="E11" s="63"/>
      <c r="F11" s="63"/>
      <c r="G11" s="63"/>
      <c r="H11" s="63"/>
      <c r="I11" s="63"/>
      <c r="J11" s="1"/>
      <c r="K11" s="63"/>
      <c r="L11" s="1"/>
      <c r="M11" s="1"/>
      <c r="N11" s="63"/>
      <c r="O11" s="63"/>
    </row>
    <row r="12" spans="2:15" ht="15">
      <c r="C12" s="44" t="s">
        <v>1375</v>
      </c>
      <c r="D12" s="45" t="s">
        <v>2983</v>
      </c>
      <c r="E12" s="46"/>
      <c r="F12" s="51"/>
      <c r="G12" s="51"/>
      <c r="H12" s="51"/>
      <c r="I12" s="51"/>
      <c r="J12" s="51"/>
      <c r="K12" s="51"/>
      <c r="L12" s="51"/>
      <c r="M12" s="51"/>
      <c r="N12" s="51"/>
      <c r="O12" s="51"/>
    </row>
    <row r="13" spans="2:15" ht="15">
      <c r="C13" s="47" t="s">
        <v>192</v>
      </c>
      <c r="D13" s="48" t="s">
        <v>191</v>
      </c>
      <c r="E13" s="49"/>
      <c r="F13" s="52"/>
      <c r="G13" s="52"/>
      <c r="H13" s="52"/>
      <c r="I13" s="52"/>
      <c r="J13" s="52"/>
      <c r="K13" s="52"/>
      <c r="L13" s="52"/>
      <c r="M13" s="52"/>
      <c r="N13" s="52"/>
      <c r="O13" s="52"/>
    </row>
    <row r="14" spans="2:15" ht="15">
      <c r="C14" s="47" t="s">
        <v>193</v>
      </c>
      <c r="D14" s="48" t="s">
        <v>2693</v>
      </c>
      <c r="E14" s="49"/>
      <c r="F14" s="52"/>
      <c r="G14" s="52"/>
      <c r="H14" s="52"/>
      <c r="I14" s="52"/>
      <c r="J14" s="52"/>
      <c r="K14" s="52"/>
      <c r="L14" s="52"/>
      <c r="M14" s="52"/>
      <c r="N14" s="52"/>
      <c r="O14" s="52"/>
    </row>
    <row r="15" spans="2:15" ht="15">
      <c r="B15" s="117"/>
      <c r="C15" s="47" t="s">
        <v>194</v>
      </c>
      <c r="D15" s="48" t="s">
        <v>195</v>
      </c>
      <c r="E15" s="49"/>
      <c r="F15" s="52"/>
      <c r="G15" s="52"/>
      <c r="H15" s="52"/>
      <c r="I15" s="52"/>
      <c r="J15" s="52"/>
      <c r="K15" s="52"/>
      <c r="L15" s="52"/>
      <c r="M15" s="52"/>
      <c r="N15" s="52"/>
      <c r="O15" s="52"/>
    </row>
    <row r="16" spans="2:15" ht="15">
      <c r="B16" s="54"/>
      <c r="C16" s="60" t="s">
        <v>529</v>
      </c>
      <c r="D16" s="56" t="s">
        <v>530</v>
      </c>
      <c r="E16" s="57"/>
      <c r="F16" s="58"/>
      <c r="G16" s="58"/>
      <c r="H16" s="58"/>
      <c r="I16" s="58"/>
      <c r="J16" s="58"/>
      <c r="K16" s="58"/>
      <c r="L16" s="58"/>
      <c r="M16" s="58"/>
      <c r="N16" s="58"/>
      <c r="O16" s="58"/>
    </row>
  </sheetData>
  <mergeCells count="5">
    <mergeCell ref="C5:C6"/>
    <mergeCell ref="D5:E6"/>
    <mergeCell ref="F5:H5"/>
    <mergeCell ref="N5:O5"/>
    <mergeCell ref="N6:O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>
    <tabColor theme="5" tint="0.59999389629810485"/>
  </sheetPr>
  <dimension ref="B2:R130"/>
  <sheetViews>
    <sheetView workbookViewId="0">
      <selection activeCell="D39" sqref="D39"/>
    </sheetView>
  </sheetViews>
  <sheetFormatPr defaultRowHeight="14.25"/>
  <cols>
    <col min="2" max="2" width="34.625" customWidth="1"/>
    <col min="3" max="3" width="24.375" customWidth="1"/>
  </cols>
  <sheetData>
    <row r="2" spans="2:18" ht="25.5">
      <c r="B2" s="4"/>
      <c r="C2" s="113" t="s">
        <v>1789</v>
      </c>
      <c r="D2" s="62"/>
      <c r="E2" s="62"/>
      <c r="F2" s="62"/>
      <c r="G2" s="62"/>
      <c r="H2" s="62"/>
      <c r="I2" s="62"/>
      <c r="J2" s="17"/>
      <c r="K2" s="62"/>
      <c r="L2" s="29"/>
      <c r="M2" s="29"/>
      <c r="N2" s="62"/>
      <c r="O2" s="62"/>
      <c r="P2" s="1"/>
      <c r="Q2" s="1"/>
      <c r="R2" s="1"/>
    </row>
    <row r="3" spans="2:18" ht="23.25" thickBot="1">
      <c r="B3" s="7"/>
      <c r="C3" s="63"/>
      <c r="D3" s="63"/>
      <c r="E3" s="63"/>
      <c r="F3" s="63"/>
      <c r="G3" s="63"/>
      <c r="H3" s="63"/>
      <c r="I3" s="63"/>
      <c r="J3" s="1"/>
      <c r="K3" s="63"/>
      <c r="L3" s="1"/>
      <c r="M3" s="1"/>
      <c r="N3" s="63"/>
      <c r="O3" s="63"/>
      <c r="P3" s="1"/>
      <c r="Q3" s="1"/>
      <c r="R3" s="1"/>
    </row>
    <row r="4" spans="2:18" ht="15">
      <c r="B4" s="3"/>
      <c r="C4" s="253" t="s">
        <v>0</v>
      </c>
      <c r="D4" s="257" t="s">
        <v>852</v>
      </c>
      <c r="E4" s="253"/>
      <c r="F4" s="257" t="s">
        <v>2</v>
      </c>
      <c r="G4" s="258"/>
      <c r="H4" s="258"/>
      <c r="I4" s="18" t="s">
        <v>3</v>
      </c>
      <c r="J4" s="19" t="s">
        <v>4</v>
      </c>
      <c r="K4" s="30" t="s">
        <v>5</v>
      </c>
      <c r="L4" s="31" t="s">
        <v>6</v>
      </c>
      <c r="M4" s="31" t="s">
        <v>7</v>
      </c>
      <c r="N4" s="259" t="s">
        <v>8</v>
      </c>
      <c r="O4" s="255"/>
      <c r="P4" s="2"/>
      <c r="Q4" s="2"/>
      <c r="R4" s="2"/>
    </row>
    <row r="5" spans="2:18" ht="15">
      <c r="B5" s="9"/>
      <c r="C5" s="254"/>
      <c r="D5" s="256"/>
      <c r="E5" s="254"/>
      <c r="F5" s="20" t="s">
        <v>853</v>
      </c>
      <c r="G5" s="33" t="s">
        <v>10</v>
      </c>
      <c r="H5" s="10" t="s">
        <v>854</v>
      </c>
      <c r="I5" s="21"/>
      <c r="J5" s="22"/>
      <c r="K5" s="32"/>
      <c r="L5" s="33"/>
      <c r="M5" s="33"/>
      <c r="N5" s="260" t="s">
        <v>11</v>
      </c>
      <c r="O5" s="261"/>
      <c r="P5" s="3"/>
      <c r="Q5" s="3"/>
      <c r="R5" s="3"/>
    </row>
    <row r="6" spans="2:18" ht="15.75" thickBot="1">
      <c r="B6" s="3"/>
      <c r="C6" s="11"/>
      <c r="D6" s="12" t="s">
        <v>12</v>
      </c>
      <c r="E6" s="11" t="s">
        <v>13</v>
      </c>
      <c r="F6" s="23" t="s">
        <v>14</v>
      </c>
      <c r="G6" s="133" t="s">
        <v>15</v>
      </c>
      <c r="H6" s="134" t="s">
        <v>15</v>
      </c>
      <c r="I6" s="25" t="s">
        <v>16</v>
      </c>
      <c r="J6" s="26" t="s">
        <v>17</v>
      </c>
      <c r="K6" s="34"/>
      <c r="L6" s="35" t="s">
        <v>18</v>
      </c>
      <c r="M6" s="36" t="s">
        <v>19</v>
      </c>
      <c r="N6" s="37" t="s">
        <v>486</v>
      </c>
      <c r="O6" s="43" t="s">
        <v>487</v>
      </c>
      <c r="P6" s="2"/>
      <c r="Q6" s="2"/>
      <c r="R6" s="2"/>
    </row>
    <row r="7" spans="2:18" ht="15.75" thickBot="1">
      <c r="B7" s="2"/>
      <c r="C7" s="13" t="s">
        <v>855</v>
      </c>
      <c r="D7" s="14">
        <v>7.1999999999999995E-2</v>
      </c>
      <c r="E7" s="15">
        <v>9.7000000000000003E-2</v>
      </c>
      <c r="F7" s="14">
        <v>1.8</v>
      </c>
      <c r="G7" s="28" t="s">
        <v>1520</v>
      </c>
      <c r="H7" s="136">
        <v>4.5</v>
      </c>
      <c r="I7" s="59" t="s">
        <v>856</v>
      </c>
      <c r="J7" s="28">
        <v>2900</v>
      </c>
      <c r="K7" s="38" t="s">
        <v>851</v>
      </c>
      <c r="L7" s="39">
        <v>2.6</v>
      </c>
      <c r="M7" s="42">
        <f>0.13*0.148*0.15</f>
        <v>2.8860000000000001E-3</v>
      </c>
      <c r="N7" s="78">
        <v>45.338999999999999</v>
      </c>
      <c r="O7" s="78"/>
      <c r="P7" s="117"/>
      <c r="Q7" s="117"/>
      <c r="R7" s="2"/>
    </row>
    <row r="8" spans="2:18" ht="15.75" thickBot="1">
      <c r="B8" s="2"/>
      <c r="C8" s="13" t="s">
        <v>857</v>
      </c>
      <c r="D8" s="14">
        <v>7.1999999999999995E-2</v>
      </c>
      <c r="E8" s="15">
        <v>9.7000000000000003E-2</v>
      </c>
      <c r="F8" s="14">
        <v>2</v>
      </c>
      <c r="G8" s="28" t="s">
        <v>1520</v>
      </c>
      <c r="H8" s="136">
        <v>4.5</v>
      </c>
      <c r="I8" s="59" t="s">
        <v>858</v>
      </c>
      <c r="J8" s="28">
        <v>2900</v>
      </c>
      <c r="K8" s="38" t="s">
        <v>851</v>
      </c>
      <c r="L8" s="39">
        <v>2.6</v>
      </c>
      <c r="M8" s="42">
        <f>0.13*0.148*0.15</f>
        <v>2.8860000000000001E-3</v>
      </c>
      <c r="N8" s="78">
        <v>45.696000000000005</v>
      </c>
      <c r="O8" s="78"/>
      <c r="P8" s="117"/>
      <c r="Q8" s="117"/>
      <c r="R8" s="2"/>
    </row>
    <row r="9" spans="2:18" ht="15.75" thickBot="1">
      <c r="B9" s="2"/>
      <c r="C9" s="13" t="s">
        <v>859</v>
      </c>
      <c r="D9" s="14">
        <v>7.1999999999999995E-2</v>
      </c>
      <c r="E9" s="15">
        <v>9.7000000000000003E-2</v>
      </c>
      <c r="F9" s="14">
        <v>2.6</v>
      </c>
      <c r="G9" s="28" t="s">
        <v>1520</v>
      </c>
      <c r="H9" s="136">
        <v>4.5</v>
      </c>
      <c r="I9" s="59" t="s">
        <v>860</v>
      </c>
      <c r="J9" s="28">
        <v>2900</v>
      </c>
      <c r="K9" s="38" t="s">
        <v>851</v>
      </c>
      <c r="L9" s="39">
        <v>2.6</v>
      </c>
      <c r="M9" s="42">
        <f>0.13*0.148*0.15</f>
        <v>2.8860000000000001E-3</v>
      </c>
      <c r="N9" s="78">
        <v>47.481000000000002</v>
      </c>
      <c r="O9" s="78"/>
      <c r="P9" s="117"/>
      <c r="Q9" s="117"/>
      <c r="R9" s="2"/>
    </row>
    <row r="10" spans="2:18" ht="15.75" thickBot="1">
      <c r="B10" s="2"/>
      <c r="C10" s="13" t="s">
        <v>861</v>
      </c>
      <c r="D10" s="14">
        <v>7.1999999999999995E-2</v>
      </c>
      <c r="E10" s="15">
        <v>9.7000000000000003E-2</v>
      </c>
      <c r="F10" s="14">
        <v>3</v>
      </c>
      <c r="G10" s="28" t="s">
        <v>1520</v>
      </c>
      <c r="H10" s="136">
        <v>4.5</v>
      </c>
      <c r="I10" s="59" t="s">
        <v>860</v>
      </c>
      <c r="J10" s="28">
        <v>2900</v>
      </c>
      <c r="K10" s="38" t="s">
        <v>851</v>
      </c>
      <c r="L10" s="39">
        <v>2.6</v>
      </c>
      <c r="M10" s="42">
        <f>0.18*0.148*0.15</f>
        <v>3.9959999999999996E-3</v>
      </c>
      <c r="N10" s="78">
        <v>48.552</v>
      </c>
      <c r="O10" s="78"/>
      <c r="P10" s="117"/>
      <c r="Q10" s="117"/>
      <c r="R10" s="2"/>
    </row>
    <row r="11" spans="2:18" ht="15.75" thickBot="1">
      <c r="B11" s="2"/>
      <c r="C11" s="13" t="s">
        <v>862</v>
      </c>
      <c r="D11" s="14">
        <v>7.1999999999999995E-2</v>
      </c>
      <c r="E11" s="15">
        <v>9.7000000000000003E-2</v>
      </c>
      <c r="F11" s="14">
        <v>3</v>
      </c>
      <c r="G11" s="28" t="s">
        <v>1520</v>
      </c>
      <c r="H11" s="136">
        <v>4.5</v>
      </c>
      <c r="I11" s="59" t="s">
        <v>863</v>
      </c>
      <c r="J11" s="28">
        <v>2900</v>
      </c>
      <c r="K11" s="38" t="s">
        <v>851</v>
      </c>
      <c r="L11" s="39">
        <v>2.6</v>
      </c>
      <c r="M11" s="42">
        <f>0.13*0.148*0.15</f>
        <v>2.8860000000000001E-3</v>
      </c>
      <c r="N11" s="78">
        <v>50.337000000000003</v>
      </c>
      <c r="O11" s="78"/>
      <c r="P11" s="117"/>
      <c r="Q11" s="117"/>
      <c r="R11" s="2"/>
    </row>
    <row r="12" spans="2:18" ht="15.75" thickBot="1">
      <c r="B12" s="54"/>
      <c r="C12" s="13" t="s">
        <v>864</v>
      </c>
      <c r="D12" s="14">
        <v>7.1999999999999995E-2</v>
      </c>
      <c r="E12" s="15">
        <v>9.7000000000000003E-2</v>
      </c>
      <c r="F12" s="14">
        <v>3.5</v>
      </c>
      <c r="G12" s="28" t="s">
        <v>1520</v>
      </c>
      <c r="H12" s="136">
        <v>4.5</v>
      </c>
      <c r="I12" s="59" t="s">
        <v>863</v>
      </c>
      <c r="J12" s="28">
        <v>2900</v>
      </c>
      <c r="K12" s="38" t="s">
        <v>851</v>
      </c>
      <c r="L12" s="39">
        <v>2.6</v>
      </c>
      <c r="M12" s="42">
        <f>0.18*0.148*0.15</f>
        <v>3.9959999999999996E-3</v>
      </c>
      <c r="N12" s="78">
        <v>52.478999999999999</v>
      </c>
      <c r="O12" s="78"/>
      <c r="P12" s="117"/>
      <c r="Q12" s="117"/>
      <c r="R12" s="2"/>
    </row>
    <row r="13" spans="2:18" ht="15.75" thickBot="1">
      <c r="B13" s="140"/>
      <c r="C13" s="13" t="s">
        <v>865</v>
      </c>
      <c r="D13" s="14">
        <v>9.2999999999999999E-2</v>
      </c>
      <c r="E13" s="15">
        <v>0.125</v>
      </c>
      <c r="F13" s="14">
        <v>2</v>
      </c>
      <c r="G13" s="28" t="s">
        <v>1520</v>
      </c>
      <c r="H13" s="136">
        <v>6</v>
      </c>
      <c r="I13" s="59" t="s">
        <v>856</v>
      </c>
      <c r="J13" s="28">
        <v>2900</v>
      </c>
      <c r="K13" s="38" t="s">
        <v>851</v>
      </c>
      <c r="L13" s="39">
        <v>2.7</v>
      </c>
      <c r="M13" s="42">
        <f>0.13*0.148*0.15</f>
        <v>2.8860000000000001E-3</v>
      </c>
      <c r="N13" s="78">
        <v>48.908999999999999</v>
      </c>
      <c r="O13" s="78"/>
      <c r="P13" s="117"/>
      <c r="Q13" s="117"/>
      <c r="R13" s="2"/>
    </row>
    <row r="14" spans="2:18" ht="15.75" thickBot="1">
      <c r="B14" s="140"/>
      <c r="C14" s="13" t="s">
        <v>866</v>
      </c>
      <c r="D14" s="14">
        <v>9.2999999999999999E-2</v>
      </c>
      <c r="E14" s="15">
        <v>0.125</v>
      </c>
      <c r="F14" s="14">
        <v>2.2999999999999998</v>
      </c>
      <c r="G14" s="28" t="s">
        <v>1520</v>
      </c>
      <c r="H14" s="136">
        <v>6</v>
      </c>
      <c r="I14" s="59" t="s">
        <v>858</v>
      </c>
      <c r="J14" s="28">
        <v>2900</v>
      </c>
      <c r="K14" s="38" t="s">
        <v>851</v>
      </c>
      <c r="L14" s="39">
        <v>2.7</v>
      </c>
      <c r="M14" s="42">
        <f>0.13*0.148*0.15</f>
        <v>2.8860000000000001E-3</v>
      </c>
      <c r="N14" s="78">
        <v>49.622999999999998</v>
      </c>
      <c r="O14" s="78"/>
      <c r="P14" s="117"/>
      <c r="Q14" s="117"/>
      <c r="R14" s="2"/>
    </row>
    <row r="15" spans="2:18" ht="15.75" thickBot="1">
      <c r="B15" s="140"/>
      <c r="C15" s="13" t="s">
        <v>867</v>
      </c>
      <c r="D15" s="14">
        <v>9.2999999999999999E-2</v>
      </c>
      <c r="E15" s="15">
        <v>0.125</v>
      </c>
      <c r="F15" s="14">
        <v>3.3</v>
      </c>
      <c r="G15" s="28" t="s">
        <v>1520</v>
      </c>
      <c r="H15" s="136">
        <v>6</v>
      </c>
      <c r="I15" s="59" t="s">
        <v>860</v>
      </c>
      <c r="J15" s="28">
        <v>2900</v>
      </c>
      <c r="K15" s="38" t="s">
        <v>851</v>
      </c>
      <c r="L15" s="39">
        <v>2.7</v>
      </c>
      <c r="M15" s="42">
        <f>0.13*0.148*0.15</f>
        <v>2.8860000000000001E-3</v>
      </c>
      <c r="N15" s="78">
        <v>51.408000000000001</v>
      </c>
      <c r="O15" s="78"/>
      <c r="P15" s="117"/>
      <c r="Q15" s="117"/>
      <c r="R15" s="2"/>
    </row>
    <row r="16" spans="2:18" ht="15.75" thickBot="1">
      <c r="B16" s="140"/>
      <c r="C16" s="13" t="s">
        <v>868</v>
      </c>
      <c r="D16" s="14">
        <v>9.2999999999999999E-2</v>
      </c>
      <c r="E16" s="15">
        <v>0.125</v>
      </c>
      <c r="F16" s="14">
        <v>3.5</v>
      </c>
      <c r="G16" s="28" t="s">
        <v>1520</v>
      </c>
      <c r="H16" s="136">
        <v>6</v>
      </c>
      <c r="I16" s="59" t="s">
        <v>860</v>
      </c>
      <c r="J16" s="28">
        <v>2900</v>
      </c>
      <c r="K16" s="38" t="s">
        <v>851</v>
      </c>
      <c r="L16" s="39">
        <v>2.7</v>
      </c>
      <c r="M16" s="42">
        <f>0.18*0.148*0.15</f>
        <v>3.9959999999999996E-3</v>
      </c>
      <c r="N16" s="78">
        <v>53.192999999999998</v>
      </c>
      <c r="O16" s="78"/>
      <c r="P16" s="117"/>
      <c r="Q16" s="117"/>
      <c r="R16" s="2"/>
    </row>
    <row r="17" spans="2:18" ht="15.75" thickBot="1">
      <c r="B17" s="140"/>
      <c r="C17" s="13" t="s">
        <v>869</v>
      </c>
      <c r="D17" s="14">
        <v>9.2999999999999999E-2</v>
      </c>
      <c r="E17" s="15">
        <v>0.125</v>
      </c>
      <c r="F17" s="14">
        <v>3.5</v>
      </c>
      <c r="G17" s="28" t="s">
        <v>1520</v>
      </c>
      <c r="H17" s="136">
        <v>6</v>
      </c>
      <c r="I17" s="59" t="s">
        <v>863</v>
      </c>
      <c r="J17" s="28">
        <v>2900</v>
      </c>
      <c r="K17" s="38" t="s">
        <v>851</v>
      </c>
      <c r="L17" s="39">
        <v>2.7</v>
      </c>
      <c r="M17" s="42">
        <f>0.13*0.148*0.15</f>
        <v>2.8860000000000001E-3</v>
      </c>
      <c r="N17" s="78">
        <v>54.978000000000002</v>
      </c>
      <c r="O17" s="78"/>
      <c r="P17" s="117"/>
      <c r="Q17" s="117"/>
      <c r="R17" s="2"/>
    </row>
    <row r="18" spans="2:18" ht="15.75" thickBot="1">
      <c r="B18" s="140"/>
      <c r="C18" s="13" t="s">
        <v>870</v>
      </c>
      <c r="D18" s="14">
        <v>9.2999999999999999E-2</v>
      </c>
      <c r="E18" s="15">
        <v>0.125</v>
      </c>
      <c r="F18" s="14">
        <v>3.8</v>
      </c>
      <c r="G18" s="28" t="s">
        <v>1520</v>
      </c>
      <c r="H18" s="136">
        <v>6</v>
      </c>
      <c r="I18" s="59" t="s">
        <v>863</v>
      </c>
      <c r="J18" s="28">
        <v>2900</v>
      </c>
      <c r="K18" s="38" t="s">
        <v>851</v>
      </c>
      <c r="L18" s="39">
        <v>2.7</v>
      </c>
      <c r="M18" s="42">
        <f>0.18*0.148*0.15</f>
        <v>3.9959999999999996E-3</v>
      </c>
      <c r="N18" s="78">
        <v>56.048999999999999</v>
      </c>
      <c r="O18" s="78"/>
      <c r="P18" s="117"/>
      <c r="Q18" s="117"/>
      <c r="R18" s="2"/>
    </row>
    <row r="19" spans="2:18" ht="15.75" thickBot="1">
      <c r="B19" s="140"/>
      <c r="C19" s="13" t="s">
        <v>871</v>
      </c>
      <c r="D19" s="14">
        <v>0.15</v>
      </c>
      <c r="E19" s="15">
        <v>0.2</v>
      </c>
      <c r="F19" s="14">
        <v>4</v>
      </c>
      <c r="G19" s="28" t="s">
        <v>1520</v>
      </c>
      <c r="H19" s="136">
        <v>7</v>
      </c>
      <c r="I19" s="59" t="s">
        <v>860</v>
      </c>
      <c r="J19" s="28">
        <v>2900</v>
      </c>
      <c r="K19" s="38" t="s">
        <v>851</v>
      </c>
      <c r="L19" s="39">
        <v>3</v>
      </c>
      <c r="M19" s="42">
        <f>0.18*0.148*0.194</f>
        <v>5.1681599999999998E-3</v>
      </c>
      <c r="N19" s="78">
        <v>66.045000000000002</v>
      </c>
      <c r="O19" s="78"/>
      <c r="P19" s="117"/>
      <c r="Q19" s="117"/>
      <c r="R19" s="2"/>
    </row>
    <row r="20" spans="2:18" ht="15.75" thickBot="1">
      <c r="B20" s="140"/>
      <c r="C20" s="13" t="s">
        <v>872</v>
      </c>
      <c r="D20" s="14">
        <v>0.15</v>
      </c>
      <c r="E20" s="15">
        <v>0.2</v>
      </c>
      <c r="F20" s="14">
        <v>4</v>
      </c>
      <c r="G20" s="28" t="s">
        <v>1520</v>
      </c>
      <c r="H20" s="136">
        <v>7</v>
      </c>
      <c r="I20" s="59" t="s">
        <v>863</v>
      </c>
      <c r="J20" s="28">
        <v>2900</v>
      </c>
      <c r="K20" s="38" t="s">
        <v>851</v>
      </c>
      <c r="L20" s="39">
        <v>3</v>
      </c>
      <c r="M20" s="42">
        <f>0.18*0.148*0.194</f>
        <v>5.1681599999999998E-3</v>
      </c>
      <c r="N20" s="78">
        <v>67.472999999999999</v>
      </c>
      <c r="O20" s="78"/>
      <c r="P20" s="117"/>
      <c r="Q20" s="117"/>
      <c r="R20" s="2"/>
    </row>
    <row r="21" spans="2:18" ht="15.75" thickBot="1">
      <c r="B21" s="140"/>
      <c r="C21" s="13" t="s">
        <v>873</v>
      </c>
      <c r="D21" s="14">
        <v>0.245</v>
      </c>
      <c r="E21" s="15">
        <v>0.33</v>
      </c>
      <c r="F21" s="14">
        <v>8</v>
      </c>
      <c r="G21" s="28" t="s">
        <v>1520</v>
      </c>
      <c r="H21" s="136">
        <v>8</v>
      </c>
      <c r="I21" s="59" t="s">
        <v>860</v>
      </c>
      <c r="J21" s="28">
        <v>2900</v>
      </c>
      <c r="K21" s="38" t="s">
        <v>851</v>
      </c>
      <c r="L21" s="39">
        <v>3.2</v>
      </c>
      <c r="M21" s="42">
        <f>0.18*0.156*0.2</f>
        <v>5.6159999999999995E-3</v>
      </c>
      <c r="N21" s="78">
        <v>91.39200000000001</v>
      </c>
      <c r="O21" s="78"/>
      <c r="P21" s="117"/>
      <c r="Q21" s="117"/>
      <c r="R21" s="2"/>
    </row>
    <row r="22" spans="2:18" ht="15.75" thickBot="1">
      <c r="B22" s="140"/>
      <c r="C22" s="13" t="s">
        <v>874</v>
      </c>
      <c r="D22" s="14">
        <v>0.245</v>
      </c>
      <c r="E22" s="15">
        <v>0.33</v>
      </c>
      <c r="F22" s="14">
        <v>10</v>
      </c>
      <c r="G22" s="28" t="s">
        <v>1520</v>
      </c>
      <c r="H22" s="136">
        <v>8</v>
      </c>
      <c r="I22" s="59" t="s">
        <v>863</v>
      </c>
      <c r="J22" s="28">
        <v>2900</v>
      </c>
      <c r="K22" s="38" t="s">
        <v>851</v>
      </c>
      <c r="L22" s="39">
        <v>3.2</v>
      </c>
      <c r="M22" s="42">
        <f>0.18*0.156*0.2</f>
        <v>5.6159999999999995E-3</v>
      </c>
      <c r="N22" s="78">
        <v>95.319000000000003</v>
      </c>
      <c r="O22" s="78"/>
      <c r="P22" s="117"/>
      <c r="Q22" s="117"/>
      <c r="R22" s="2"/>
    </row>
    <row r="23" spans="2:18" ht="15.75" thickBot="1">
      <c r="B23" s="143"/>
      <c r="C23" s="13" t="s">
        <v>875</v>
      </c>
      <c r="D23" s="14">
        <v>0.245</v>
      </c>
      <c r="E23" s="15">
        <v>0.33</v>
      </c>
      <c r="F23" s="14">
        <v>3.6</v>
      </c>
      <c r="G23" s="28" t="s">
        <v>1520</v>
      </c>
      <c r="H23" s="136">
        <v>12</v>
      </c>
      <c r="I23" s="59" t="s">
        <v>858</v>
      </c>
      <c r="J23" s="28">
        <v>2900</v>
      </c>
      <c r="K23" s="38" t="s">
        <v>851</v>
      </c>
      <c r="L23" s="39">
        <v>4.8</v>
      </c>
      <c r="M23" s="42">
        <f>0.18*0.163*0.175</f>
        <v>5.1345000000000002E-3</v>
      </c>
      <c r="N23" s="78">
        <v>93.891000000000005</v>
      </c>
      <c r="O23" s="78"/>
      <c r="P23" s="117"/>
      <c r="Q23" s="117"/>
      <c r="R23" s="2"/>
    </row>
    <row r="24" spans="2:18" ht="15.75" thickBot="1">
      <c r="B24" s="140"/>
      <c r="C24" s="13" t="s">
        <v>876</v>
      </c>
      <c r="D24" s="14">
        <v>0.245</v>
      </c>
      <c r="E24" s="15">
        <v>0.33</v>
      </c>
      <c r="F24" s="14">
        <v>4</v>
      </c>
      <c r="G24" s="28" t="s">
        <v>1520</v>
      </c>
      <c r="H24" s="136">
        <v>12</v>
      </c>
      <c r="I24" s="59" t="s">
        <v>860</v>
      </c>
      <c r="J24" s="28">
        <v>2900</v>
      </c>
      <c r="K24" s="38" t="s">
        <v>851</v>
      </c>
      <c r="L24" s="39">
        <v>4.9000000000000004</v>
      </c>
      <c r="M24" s="42">
        <f>0.18*0.163*0.175</f>
        <v>5.1345000000000002E-3</v>
      </c>
      <c r="N24" s="78">
        <v>93.891000000000005</v>
      </c>
      <c r="O24" s="78"/>
      <c r="P24" s="117"/>
      <c r="Q24" s="117"/>
      <c r="R24" s="2"/>
    </row>
    <row r="25" spans="2:18" ht="15.75" thickBot="1">
      <c r="B25" s="140"/>
      <c r="C25" s="13" t="s">
        <v>1790</v>
      </c>
      <c r="D25" s="14">
        <v>0.32</v>
      </c>
      <c r="E25" s="15">
        <v>0.43</v>
      </c>
      <c r="F25" s="14">
        <v>4.0999999999999996</v>
      </c>
      <c r="G25" s="28" t="s">
        <v>1520</v>
      </c>
      <c r="H25" s="136">
        <v>15</v>
      </c>
      <c r="I25" s="59" t="s">
        <v>858</v>
      </c>
      <c r="J25" s="28">
        <v>2900</v>
      </c>
      <c r="K25" s="38" t="s">
        <v>851</v>
      </c>
      <c r="L25" s="39">
        <v>5</v>
      </c>
      <c r="M25" s="42">
        <f>0.18*0.17*0.197</f>
        <v>6.0282000000000009E-3</v>
      </c>
      <c r="N25" s="78">
        <v>116.02500000000001</v>
      </c>
      <c r="O25" s="78"/>
      <c r="P25" s="117"/>
      <c r="Q25" s="117"/>
      <c r="R25" s="2"/>
    </row>
    <row r="26" spans="2:18" ht="15.75" thickBot="1">
      <c r="B26" s="2"/>
      <c r="C26" s="13" t="s">
        <v>1791</v>
      </c>
      <c r="D26" s="14">
        <v>7.1999999999999995E-2</v>
      </c>
      <c r="E26" s="15">
        <v>9.7000000000000003E-2</v>
      </c>
      <c r="F26" s="14">
        <v>2.6</v>
      </c>
      <c r="G26" s="28" t="s">
        <v>1520</v>
      </c>
      <c r="H26" s="136">
        <v>4.5</v>
      </c>
      <c r="I26" s="59" t="s">
        <v>860</v>
      </c>
      <c r="J26" s="28">
        <v>2900</v>
      </c>
      <c r="K26" s="38" t="s">
        <v>851</v>
      </c>
      <c r="L26" s="39">
        <v>2.6</v>
      </c>
      <c r="M26" s="42">
        <f>0.13*0.148*0.15</f>
        <v>2.8860000000000001E-3</v>
      </c>
      <c r="N26" s="78">
        <v>81.039000000000001</v>
      </c>
      <c r="O26" s="78"/>
      <c r="P26" s="117"/>
      <c r="Q26" s="117"/>
      <c r="R26" s="2"/>
    </row>
    <row r="27" spans="2:18" ht="15.75" thickBot="1">
      <c r="B27" s="2"/>
      <c r="C27" s="13" t="s">
        <v>1792</v>
      </c>
      <c r="D27" s="14">
        <v>7.1999999999999995E-2</v>
      </c>
      <c r="E27" s="15">
        <v>9.7000000000000003E-2</v>
      </c>
      <c r="F27" s="14">
        <v>3</v>
      </c>
      <c r="G27" s="28" t="s">
        <v>1520</v>
      </c>
      <c r="H27" s="136">
        <v>4.5</v>
      </c>
      <c r="I27" s="59" t="s">
        <v>860</v>
      </c>
      <c r="J27" s="28">
        <v>2900</v>
      </c>
      <c r="K27" s="38" t="s">
        <v>851</v>
      </c>
      <c r="L27" s="39">
        <v>2.6</v>
      </c>
      <c r="M27" s="42">
        <f>0.18*0.148*0.15</f>
        <v>3.9959999999999996E-3</v>
      </c>
      <c r="N27" s="78">
        <v>85.322999999999993</v>
      </c>
      <c r="O27" s="78"/>
      <c r="P27" s="117"/>
      <c r="Q27" s="117"/>
      <c r="R27" s="2"/>
    </row>
    <row r="28" spans="2:18" ht="15.75" thickBot="1">
      <c r="B28" s="140"/>
      <c r="C28" s="13" t="s">
        <v>1793</v>
      </c>
      <c r="D28" s="14">
        <v>9.2999999999999999E-2</v>
      </c>
      <c r="E28" s="15">
        <v>0.125</v>
      </c>
      <c r="F28" s="14">
        <v>3.3</v>
      </c>
      <c r="G28" s="28" t="s">
        <v>1520</v>
      </c>
      <c r="H28" s="136">
        <v>6</v>
      </c>
      <c r="I28" s="59" t="s">
        <v>860</v>
      </c>
      <c r="J28" s="28">
        <v>2900</v>
      </c>
      <c r="K28" s="38" t="s">
        <v>851</v>
      </c>
      <c r="L28" s="39">
        <v>2.7</v>
      </c>
      <c r="M28" s="42">
        <f>0.13*0.148*0.15</f>
        <v>2.8860000000000001E-3</v>
      </c>
      <c r="N28" s="78">
        <v>85.322999999999993</v>
      </c>
      <c r="O28" s="78"/>
      <c r="P28" s="117"/>
      <c r="Q28" s="117"/>
      <c r="R28" s="2"/>
    </row>
    <row r="29" spans="2:18" ht="15.75" thickBot="1">
      <c r="B29" s="140"/>
      <c r="C29" s="13" t="s">
        <v>1794</v>
      </c>
      <c r="D29" s="14">
        <v>9.2999999999999999E-2</v>
      </c>
      <c r="E29" s="15">
        <v>0.125</v>
      </c>
      <c r="F29" s="14">
        <v>3.5</v>
      </c>
      <c r="G29" s="28" t="s">
        <v>1520</v>
      </c>
      <c r="H29" s="136">
        <v>6</v>
      </c>
      <c r="I29" s="59" t="s">
        <v>860</v>
      </c>
      <c r="J29" s="28">
        <v>2900</v>
      </c>
      <c r="K29" s="38" t="s">
        <v>851</v>
      </c>
      <c r="L29" s="39">
        <v>2.7</v>
      </c>
      <c r="M29" s="42">
        <f>0.18*0.148*0.15</f>
        <v>3.9959999999999996E-3</v>
      </c>
      <c r="N29" s="78">
        <v>89.963999999999999</v>
      </c>
      <c r="O29" s="78"/>
      <c r="P29" s="117"/>
      <c r="Q29" s="117"/>
      <c r="R29" s="2"/>
    </row>
    <row r="30" spans="2:18" ht="15.75" thickBot="1">
      <c r="B30" s="140"/>
      <c r="C30" s="13" t="s">
        <v>1795</v>
      </c>
      <c r="D30" s="14">
        <v>0.245</v>
      </c>
      <c r="E30" s="15">
        <v>0.33</v>
      </c>
      <c r="F30" s="14">
        <v>8</v>
      </c>
      <c r="G30" s="28" t="s">
        <v>1520</v>
      </c>
      <c r="H30" s="136">
        <v>8</v>
      </c>
      <c r="I30" s="59" t="s">
        <v>860</v>
      </c>
      <c r="J30" s="28">
        <v>2900</v>
      </c>
      <c r="K30" s="38" t="s">
        <v>851</v>
      </c>
      <c r="L30" s="39">
        <v>3.2</v>
      </c>
      <c r="M30" s="42">
        <f>0.18*0.156*0.2</f>
        <v>5.6159999999999995E-3</v>
      </c>
      <c r="N30" s="78">
        <v>150.297</v>
      </c>
      <c r="O30" s="78"/>
      <c r="P30" s="117"/>
      <c r="Q30" s="117"/>
      <c r="R30" s="2"/>
    </row>
    <row r="31" spans="2:18" ht="15.75" thickBot="1">
      <c r="B31" s="140"/>
      <c r="C31" s="13" t="s">
        <v>1796</v>
      </c>
      <c r="D31" s="14">
        <v>0.245</v>
      </c>
      <c r="E31" s="15">
        <v>0.33</v>
      </c>
      <c r="F31" s="14">
        <v>10</v>
      </c>
      <c r="G31" s="28" t="s">
        <v>1520</v>
      </c>
      <c r="H31" s="136">
        <v>8</v>
      </c>
      <c r="I31" s="59" t="s">
        <v>863</v>
      </c>
      <c r="J31" s="28">
        <v>2900</v>
      </c>
      <c r="K31" s="38" t="s">
        <v>851</v>
      </c>
      <c r="L31" s="39">
        <v>3.2</v>
      </c>
      <c r="M31" s="42">
        <f>0.18*0.156*0.2</f>
        <v>5.6159999999999995E-3</v>
      </c>
      <c r="N31" s="78">
        <v>155.29500000000002</v>
      </c>
      <c r="O31" s="78"/>
      <c r="P31" s="117"/>
      <c r="Q31" s="117"/>
      <c r="R31" s="2"/>
    </row>
    <row r="32" spans="2:18" ht="15.75" thickBot="1">
      <c r="B32" s="140" t="s">
        <v>1797</v>
      </c>
      <c r="C32" s="13" t="s">
        <v>1798</v>
      </c>
      <c r="D32" s="14">
        <v>0.245</v>
      </c>
      <c r="E32" s="15">
        <v>0.33</v>
      </c>
      <c r="F32" s="14">
        <v>3.6</v>
      </c>
      <c r="G32" s="28" t="s">
        <v>1520</v>
      </c>
      <c r="H32" s="136">
        <v>12</v>
      </c>
      <c r="I32" s="59" t="s">
        <v>858</v>
      </c>
      <c r="J32" s="28">
        <v>2900</v>
      </c>
      <c r="K32" s="38" t="s">
        <v>851</v>
      </c>
      <c r="L32" s="39">
        <v>4.8</v>
      </c>
      <c r="M32" s="42">
        <f>0.18*0.163*0.175</f>
        <v>5.1345000000000002E-3</v>
      </c>
      <c r="N32" s="78">
        <v>138.87300000000002</v>
      </c>
      <c r="O32" s="78"/>
      <c r="P32" s="117"/>
      <c r="Q32" s="117"/>
      <c r="R32" s="2"/>
    </row>
    <row r="33" spans="2:18" ht="15.75" thickBot="1">
      <c r="B33" s="2"/>
      <c r="C33" s="13" t="s">
        <v>1799</v>
      </c>
      <c r="D33" s="14">
        <v>7.1999999999999995E-2</v>
      </c>
      <c r="E33" s="15">
        <v>9.7000000000000003E-2</v>
      </c>
      <c r="F33" s="14">
        <v>2.6</v>
      </c>
      <c r="G33" s="28" t="s">
        <v>1520</v>
      </c>
      <c r="H33" s="136">
        <v>4.5</v>
      </c>
      <c r="I33" s="59" t="s">
        <v>860</v>
      </c>
      <c r="J33" s="28">
        <v>2900</v>
      </c>
      <c r="K33" s="38" t="s">
        <v>851</v>
      </c>
      <c r="L33" s="39">
        <v>2.6</v>
      </c>
      <c r="M33" s="42">
        <f>0.13*0.148*0.15</f>
        <v>2.8860000000000001E-3</v>
      </c>
      <c r="N33" s="78">
        <v>93.534000000000006</v>
      </c>
      <c r="O33" s="78"/>
      <c r="P33" s="117"/>
      <c r="Q33" s="117"/>
      <c r="R33" s="2"/>
    </row>
    <row r="34" spans="2:18" ht="15.75" thickBot="1">
      <c r="B34" s="2"/>
      <c r="C34" s="13" t="s">
        <v>1800</v>
      </c>
      <c r="D34" s="14">
        <v>7.1999999999999995E-2</v>
      </c>
      <c r="E34" s="15">
        <v>9.7000000000000003E-2</v>
      </c>
      <c r="F34" s="14">
        <v>3</v>
      </c>
      <c r="G34" s="28" t="s">
        <v>1520</v>
      </c>
      <c r="H34" s="136">
        <v>4.5</v>
      </c>
      <c r="I34" s="59" t="s">
        <v>860</v>
      </c>
      <c r="J34" s="28">
        <v>2900</v>
      </c>
      <c r="K34" s="38" t="s">
        <v>851</v>
      </c>
      <c r="L34" s="39">
        <v>2.6</v>
      </c>
      <c r="M34" s="42">
        <f>0.18*0.148*0.15</f>
        <v>3.9959999999999996E-3</v>
      </c>
      <c r="N34" s="78">
        <v>99.960000000000008</v>
      </c>
      <c r="O34" s="78"/>
      <c r="P34" s="117"/>
      <c r="Q34" s="117"/>
      <c r="R34" s="2"/>
    </row>
    <row r="35" spans="2:18" ht="15.75" thickBot="1">
      <c r="B35" s="140"/>
      <c r="C35" s="13" t="s">
        <v>1801</v>
      </c>
      <c r="D35" s="14">
        <v>9.2999999999999999E-2</v>
      </c>
      <c r="E35" s="15">
        <v>0.125</v>
      </c>
      <c r="F35" s="14">
        <v>3.3</v>
      </c>
      <c r="G35" s="28" t="s">
        <v>1520</v>
      </c>
      <c r="H35" s="136">
        <v>6</v>
      </c>
      <c r="I35" s="59" t="s">
        <v>860</v>
      </c>
      <c r="J35" s="28">
        <v>2900</v>
      </c>
      <c r="K35" s="38" t="s">
        <v>851</v>
      </c>
      <c r="L35" s="39">
        <v>2.7</v>
      </c>
      <c r="M35" s="42">
        <f>0.13*0.148*0.15</f>
        <v>2.8860000000000001E-3</v>
      </c>
      <c r="N35" s="78">
        <v>93.534000000000006</v>
      </c>
      <c r="O35" s="78"/>
      <c r="P35" s="117"/>
      <c r="Q35" s="117"/>
      <c r="R35" s="2"/>
    </row>
    <row r="36" spans="2:18" ht="15.75" thickBot="1">
      <c r="B36" s="140"/>
      <c r="C36" s="13" t="s">
        <v>1802</v>
      </c>
      <c r="D36" s="14">
        <v>9.2999999999999999E-2</v>
      </c>
      <c r="E36" s="15">
        <v>0.125</v>
      </c>
      <c r="F36" s="14">
        <v>3.5</v>
      </c>
      <c r="G36" s="28" t="s">
        <v>1520</v>
      </c>
      <c r="H36" s="136">
        <v>6</v>
      </c>
      <c r="I36" s="59" t="s">
        <v>860</v>
      </c>
      <c r="J36" s="28">
        <v>2900</v>
      </c>
      <c r="K36" s="38" t="s">
        <v>851</v>
      </c>
      <c r="L36" s="39">
        <v>2.7</v>
      </c>
      <c r="M36" s="42">
        <f>0.18*0.148*0.15</f>
        <v>3.9959999999999996E-3</v>
      </c>
      <c r="N36" s="78">
        <v>104.244</v>
      </c>
      <c r="O36" s="78"/>
      <c r="P36" s="117"/>
      <c r="Q36" s="117"/>
      <c r="R36" s="2"/>
    </row>
    <row r="37" spans="2:18" ht="15.75" thickBot="1">
      <c r="B37" s="140"/>
      <c r="C37" s="13" t="s">
        <v>1803</v>
      </c>
      <c r="D37" s="14">
        <v>9.2999999999999999E-2</v>
      </c>
      <c r="E37" s="15">
        <v>0.125</v>
      </c>
      <c r="F37" s="14">
        <v>3.8</v>
      </c>
      <c r="G37" s="28" t="s">
        <v>1520</v>
      </c>
      <c r="H37" s="136">
        <v>6</v>
      </c>
      <c r="I37" s="59" t="s">
        <v>863</v>
      </c>
      <c r="J37" s="28">
        <v>2900</v>
      </c>
      <c r="K37" s="38" t="s">
        <v>851</v>
      </c>
      <c r="L37" s="39">
        <v>2.7</v>
      </c>
      <c r="M37" s="42">
        <f>0.18*0.148*0.15</f>
        <v>3.9959999999999996E-3</v>
      </c>
      <c r="N37" s="78">
        <v>108.17099999999999</v>
      </c>
      <c r="O37" s="78"/>
      <c r="P37" s="117"/>
      <c r="Q37" s="117"/>
      <c r="R37" s="2"/>
    </row>
    <row r="38" spans="2:18" ht="15.75" thickBot="1">
      <c r="B38" s="140"/>
      <c r="C38" s="13" t="s">
        <v>1804</v>
      </c>
      <c r="D38" s="14">
        <v>0.245</v>
      </c>
      <c r="E38" s="15">
        <v>0.33</v>
      </c>
      <c r="F38" s="14">
        <v>8</v>
      </c>
      <c r="G38" s="28" t="s">
        <v>1520</v>
      </c>
      <c r="H38" s="136">
        <v>8</v>
      </c>
      <c r="I38" s="59" t="s">
        <v>860</v>
      </c>
      <c r="J38" s="28">
        <v>2900</v>
      </c>
      <c r="K38" s="38" t="s">
        <v>851</v>
      </c>
      <c r="L38" s="39">
        <v>3.2</v>
      </c>
      <c r="M38" s="42">
        <f>0.18*0.156*0.2</f>
        <v>5.6159999999999995E-3</v>
      </c>
      <c r="N38" s="78">
        <v>154.22400000000002</v>
      </c>
      <c r="O38" s="78"/>
      <c r="P38" s="117"/>
      <c r="Q38" s="117"/>
      <c r="R38" s="2"/>
    </row>
    <row r="39" spans="2:18" ht="15.75" thickBot="1">
      <c r="B39" s="140"/>
      <c r="C39" s="13" t="s">
        <v>1805</v>
      </c>
      <c r="D39" s="14">
        <v>0.245</v>
      </c>
      <c r="E39" s="15">
        <v>0.33</v>
      </c>
      <c r="F39" s="14">
        <v>10</v>
      </c>
      <c r="G39" s="28" t="s">
        <v>1520</v>
      </c>
      <c r="H39" s="136">
        <v>8</v>
      </c>
      <c r="I39" s="59" t="s">
        <v>863</v>
      </c>
      <c r="J39" s="28">
        <v>2900</v>
      </c>
      <c r="K39" s="38" t="s">
        <v>851</v>
      </c>
      <c r="L39" s="39">
        <v>3.2</v>
      </c>
      <c r="M39" s="42">
        <f>0.18*0.156*0.2</f>
        <v>5.6159999999999995E-3</v>
      </c>
      <c r="N39" s="78">
        <v>182.42699999999999</v>
      </c>
      <c r="O39" s="78"/>
      <c r="P39" s="117"/>
      <c r="Q39" s="117"/>
      <c r="R39" s="2"/>
    </row>
    <row r="40" spans="2:18" ht="15.75" thickBot="1">
      <c r="B40" s="140" t="s">
        <v>1806</v>
      </c>
      <c r="C40" s="13" t="s">
        <v>1807</v>
      </c>
      <c r="D40" s="14">
        <v>0.245</v>
      </c>
      <c r="E40" s="15">
        <v>0.33</v>
      </c>
      <c r="F40" s="14">
        <v>3.6</v>
      </c>
      <c r="G40" s="28" t="s">
        <v>1520</v>
      </c>
      <c r="H40" s="136">
        <v>12</v>
      </c>
      <c r="I40" s="59" t="s">
        <v>858</v>
      </c>
      <c r="J40" s="28">
        <v>2900</v>
      </c>
      <c r="K40" s="38" t="s">
        <v>851</v>
      </c>
      <c r="L40" s="39">
        <v>4.8</v>
      </c>
      <c r="M40" s="42">
        <f>0.18*0.163*0.175</f>
        <v>5.1345000000000002E-3</v>
      </c>
      <c r="N40" s="78">
        <v>154.22400000000002</v>
      </c>
      <c r="O40" s="78"/>
      <c r="P40" s="117"/>
      <c r="Q40" s="117"/>
      <c r="R40" s="2"/>
    </row>
    <row r="41" spans="2:18" ht="23.25" thickBot="1">
      <c r="B41" s="7"/>
      <c r="C41" s="63"/>
      <c r="D41" s="63"/>
      <c r="E41" s="63"/>
      <c r="F41" s="63"/>
      <c r="G41" s="63"/>
      <c r="H41" s="63"/>
      <c r="I41" s="63"/>
      <c r="J41" s="1"/>
      <c r="K41" s="63"/>
      <c r="L41" s="1"/>
      <c r="M41" s="1"/>
      <c r="N41" s="63"/>
      <c r="O41" s="63"/>
      <c r="P41" s="117"/>
      <c r="Q41" s="117"/>
      <c r="R41" s="1"/>
    </row>
    <row r="42" spans="2:18" ht="15">
      <c r="C42" s="44" t="s">
        <v>190</v>
      </c>
      <c r="D42" s="45" t="s">
        <v>1808</v>
      </c>
      <c r="E42" s="46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117"/>
      <c r="Q42" s="117"/>
      <c r="R42" s="117"/>
    </row>
    <row r="43" spans="2:18" ht="15">
      <c r="C43" s="47" t="s">
        <v>192</v>
      </c>
      <c r="D43" s="48" t="s">
        <v>877</v>
      </c>
      <c r="E43" s="49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117"/>
      <c r="Q43" s="117"/>
      <c r="R43" s="117"/>
    </row>
    <row r="44" spans="2:18" ht="15">
      <c r="C44" s="47" t="s">
        <v>194</v>
      </c>
      <c r="D44" s="48" t="s">
        <v>877</v>
      </c>
      <c r="E44" s="49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117"/>
      <c r="Q44" s="117"/>
      <c r="R44" s="117"/>
    </row>
    <row r="45" spans="2:18" ht="15">
      <c r="B45" s="117"/>
      <c r="C45" s="47" t="s">
        <v>878</v>
      </c>
      <c r="D45" s="48" t="s">
        <v>879</v>
      </c>
      <c r="E45" s="49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117"/>
      <c r="Q45" s="117"/>
      <c r="R45" s="117"/>
    </row>
    <row r="46" spans="2:18" ht="15">
      <c r="B46" s="54"/>
      <c r="C46" s="60" t="s">
        <v>880</v>
      </c>
      <c r="D46" s="56" t="s">
        <v>881</v>
      </c>
      <c r="E46" s="57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117"/>
      <c r="Q46" s="117"/>
      <c r="R46" s="117"/>
    </row>
    <row r="47" spans="2:18" ht="15">
      <c r="B47" s="117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117"/>
      <c r="Q47" s="117"/>
      <c r="R47" s="117"/>
    </row>
    <row r="48" spans="2:18" ht="25.5">
      <c r="B48" s="4"/>
      <c r="C48" s="113" t="s">
        <v>1809</v>
      </c>
      <c r="D48" s="62"/>
      <c r="E48" s="62"/>
      <c r="F48" s="62"/>
      <c r="G48" s="62"/>
      <c r="H48" s="62"/>
      <c r="I48" s="62"/>
      <c r="J48" s="17"/>
      <c r="K48" s="62"/>
      <c r="L48" s="29"/>
      <c r="M48" s="29"/>
      <c r="N48" s="62"/>
      <c r="O48" s="62"/>
      <c r="P48" s="117"/>
      <c r="Q48" s="117"/>
      <c r="R48" s="1"/>
    </row>
    <row r="49" spans="2:18" ht="23.25" thickBot="1">
      <c r="B49" s="7"/>
      <c r="C49" s="63"/>
      <c r="D49" s="63"/>
      <c r="E49" s="63"/>
      <c r="F49" s="63"/>
      <c r="G49" s="63"/>
      <c r="H49" s="63"/>
      <c r="I49" s="63"/>
      <c r="J49" s="1"/>
      <c r="K49" s="63"/>
      <c r="L49" s="1"/>
      <c r="M49" s="1"/>
      <c r="N49" s="63"/>
      <c r="O49" s="63"/>
      <c r="P49" s="117"/>
      <c r="Q49" s="117"/>
      <c r="R49" s="1"/>
    </row>
    <row r="50" spans="2:18" ht="15">
      <c r="B50" s="3"/>
      <c r="C50" s="253" t="s">
        <v>0</v>
      </c>
      <c r="D50" s="257" t="s">
        <v>852</v>
      </c>
      <c r="E50" s="253"/>
      <c r="F50" s="257" t="s">
        <v>2</v>
      </c>
      <c r="G50" s="258"/>
      <c r="H50" s="258"/>
      <c r="I50" s="18" t="s">
        <v>3</v>
      </c>
      <c r="J50" s="19" t="s">
        <v>4</v>
      </c>
      <c r="K50" s="30" t="s">
        <v>5</v>
      </c>
      <c r="L50" s="31" t="s">
        <v>6</v>
      </c>
      <c r="M50" s="31" t="s">
        <v>7</v>
      </c>
      <c r="N50" s="259" t="s">
        <v>8</v>
      </c>
      <c r="O50" s="255"/>
      <c r="P50" s="117"/>
      <c r="Q50" s="117"/>
      <c r="R50" s="2"/>
    </row>
    <row r="51" spans="2:18" ht="15">
      <c r="B51" s="9"/>
      <c r="C51" s="254"/>
      <c r="D51" s="256"/>
      <c r="E51" s="254"/>
      <c r="F51" s="20" t="s">
        <v>853</v>
      </c>
      <c r="G51" s="33" t="s">
        <v>10</v>
      </c>
      <c r="H51" s="10" t="s">
        <v>854</v>
      </c>
      <c r="I51" s="21"/>
      <c r="J51" s="22"/>
      <c r="K51" s="32"/>
      <c r="L51" s="33"/>
      <c r="M51" s="33"/>
      <c r="N51" s="260" t="s">
        <v>11</v>
      </c>
      <c r="O51" s="261"/>
      <c r="P51" s="117"/>
      <c r="Q51" s="117"/>
      <c r="R51" s="3"/>
    </row>
    <row r="52" spans="2:18" ht="15.75" thickBot="1">
      <c r="B52" s="3"/>
      <c r="C52" s="11"/>
      <c r="D52" s="12" t="s">
        <v>12</v>
      </c>
      <c r="E52" s="11" t="s">
        <v>13</v>
      </c>
      <c r="F52" s="23" t="s">
        <v>14</v>
      </c>
      <c r="G52" s="133" t="s">
        <v>15</v>
      </c>
      <c r="H52" s="134" t="s">
        <v>15</v>
      </c>
      <c r="I52" s="25" t="s">
        <v>16</v>
      </c>
      <c r="J52" s="26" t="s">
        <v>17</v>
      </c>
      <c r="K52" s="34"/>
      <c r="L52" s="35" t="s">
        <v>18</v>
      </c>
      <c r="M52" s="36" t="s">
        <v>19</v>
      </c>
      <c r="N52" s="37" t="s">
        <v>486</v>
      </c>
      <c r="O52" s="43" t="s">
        <v>487</v>
      </c>
      <c r="P52" s="117"/>
      <c r="Q52" s="117"/>
      <c r="R52" s="2"/>
    </row>
    <row r="53" spans="2:18" ht="15.75" thickBot="1">
      <c r="B53" s="2"/>
      <c r="C53" s="13" t="s">
        <v>882</v>
      </c>
      <c r="D53" s="14">
        <v>0.1</v>
      </c>
      <c r="E53" s="15">
        <v>0.13</v>
      </c>
      <c r="F53" s="14">
        <v>1.5</v>
      </c>
      <c r="G53" s="28" t="s">
        <v>1520</v>
      </c>
      <c r="H53" s="136">
        <v>9</v>
      </c>
      <c r="I53" s="14" t="s">
        <v>856</v>
      </c>
      <c r="J53" s="28">
        <v>2900</v>
      </c>
      <c r="K53" s="38" t="s">
        <v>851</v>
      </c>
      <c r="L53" s="39">
        <v>2.7</v>
      </c>
      <c r="M53" s="42">
        <f>0.16*0.133*0.148</f>
        <v>3.1494399999999999E-3</v>
      </c>
      <c r="N53" s="78">
        <v>61.403999999999996</v>
      </c>
      <c r="O53" s="78"/>
      <c r="P53" s="117"/>
      <c r="Q53" s="117"/>
      <c r="R53" s="2"/>
    </row>
    <row r="54" spans="2:18" ht="15.75" thickBot="1">
      <c r="B54" s="2"/>
      <c r="C54" s="13" t="s">
        <v>883</v>
      </c>
      <c r="D54" s="14">
        <v>0.12</v>
      </c>
      <c r="E54" s="15">
        <v>0.16</v>
      </c>
      <c r="F54" s="14">
        <v>1.8</v>
      </c>
      <c r="G54" s="28" t="s">
        <v>1520</v>
      </c>
      <c r="H54" s="136">
        <v>10</v>
      </c>
      <c r="I54" s="14" t="s">
        <v>856</v>
      </c>
      <c r="J54" s="28">
        <v>2900</v>
      </c>
      <c r="K54" s="38" t="s">
        <v>851</v>
      </c>
      <c r="L54" s="39">
        <v>2.8</v>
      </c>
      <c r="M54" s="42">
        <f>0.16*0.133*0.158</f>
        <v>3.3622400000000003E-3</v>
      </c>
      <c r="N54" s="78">
        <v>67.116</v>
      </c>
      <c r="O54" s="78"/>
      <c r="P54" s="117"/>
      <c r="Q54" s="117"/>
      <c r="R54" s="2"/>
    </row>
    <row r="55" spans="2:18" ht="15.75" thickBot="1">
      <c r="B55" s="2"/>
      <c r="C55" s="13" t="s">
        <v>884</v>
      </c>
      <c r="D55" s="14">
        <v>0.245</v>
      </c>
      <c r="E55" s="15">
        <v>0.33</v>
      </c>
      <c r="F55" s="14">
        <v>3.6</v>
      </c>
      <c r="G55" s="28" t="s">
        <v>1520</v>
      </c>
      <c r="H55" s="136">
        <v>13</v>
      </c>
      <c r="I55" s="14" t="s">
        <v>858</v>
      </c>
      <c r="J55" s="28">
        <v>2900</v>
      </c>
      <c r="K55" s="38" t="s">
        <v>851</v>
      </c>
      <c r="L55" s="39">
        <v>3</v>
      </c>
      <c r="M55" s="42">
        <f>0.2*0.148*0.177</f>
        <v>5.2392000000000003E-3</v>
      </c>
      <c r="N55" s="78">
        <v>98.532000000000011</v>
      </c>
      <c r="O55" s="78"/>
      <c r="P55" s="117"/>
      <c r="Q55" s="117"/>
      <c r="R55" s="2"/>
    </row>
    <row r="56" spans="2:18" ht="15.75" thickBot="1">
      <c r="B56" s="2"/>
      <c r="C56" s="13" t="s">
        <v>1810</v>
      </c>
      <c r="D56" s="14">
        <v>0.32</v>
      </c>
      <c r="E56" s="15">
        <v>0.43</v>
      </c>
      <c r="F56" s="14">
        <v>4</v>
      </c>
      <c r="G56" s="28" t="s">
        <v>1520</v>
      </c>
      <c r="H56" s="136">
        <v>15</v>
      </c>
      <c r="I56" s="14" t="s">
        <v>858</v>
      </c>
      <c r="J56" s="28">
        <v>2900</v>
      </c>
      <c r="K56" s="38" t="s">
        <v>851</v>
      </c>
      <c r="L56" s="39">
        <v>4</v>
      </c>
      <c r="M56" s="42">
        <f>0.22*0.15*0.19</f>
        <v>6.2700000000000004E-3</v>
      </c>
      <c r="N56" s="78">
        <v>118.52400000000002</v>
      </c>
      <c r="O56" s="78"/>
      <c r="P56" s="117"/>
      <c r="Q56" s="117"/>
      <c r="R56" s="2"/>
    </row>
    <row r="57" spans="2:18" ht="15.75" thickBot="1">
      <c r="B57" s="2"/>
      <c r="C57" s="13" t="s">
        <v>1811</v>
      </c>
      <c r="D57" s="14">
        <v>0.1</v>
      </c>
      <c r="E57" s="15">
        <v>0.13</v>
      </c>
      <c r="F57" s="14">
        <v>1.5</v>
      </c>
      <c r="G57" s="28" t="s">
        <v>1520</v>
      </c>
      <c r="H57" s="136">
        <v>9</v>
      </c>
      <c r="I57" s="14" t="s">
        <v>856</v>
      </c>
      <c r="J57" s="28">
        <v>2900</v>
      </c>
      <c r="K57" s="38" t="s">
        <v>851</v>
      </c>
      <c r="L57" s="39">
        <v>2.7</v>
      </c>
      <c r="M57" s="42">
        <f>0.16*0.133*0.148</f>
        <v>3.1494399999999999E-3</v>
      </c>
      <c r="N57" s="78">
        <v>95.676000000000002</v>
      </c>
      <c r="O57" s="78"/>
      <c r="P57" s="117"/>
      <c r="Q57" s="117"/>
      <c r="R57" s="2"/>
    </row>
    <row r="58" spans="2:18" ht="15.75" thickBot="1">
      <c r="B58" s="2"/>
      <c r="C58" s="13" t="s">
        <v>1812</v>
      </c>
      <c r="D58" s="14">
        <v>0.12</v>
      </c>
      <c r="E58" s="15">
        <v>0.16</v>
      </c>
      <c r="F58" s="14">
        <v>1.8</v>
      </c>
      <c r="G58" s="28" t="s">
        <v>1520</v>
      </c>
      <c r="H58" s="136">
        <v>10</v>
      </c>
      <c r="I58" s="14" t="s">
        <v>856</v>
      </c>
      <c r="J58" s="28">
        <v>2900</v>
      </c>
      <c r="K58" s="38" t="s">
        <v>851</v>
      </c>
      <c r="L58" s="39">
        <v>2.8</v>
      </c>
      <c r="M58" s="42">
        <f>0.16*0.133*0.158</f>
        <v>3.3622400000000003E-3</v>
      </c>
      <c r="N58" s="78">
        <v>95.676000000000002</v>
      </c>
      <c r="O58" s="78"/>
      <c r="P58" s="117"/>
      <c r="Q58" s="117"/>
      <c r="R58" s="2"/>
    </row>
    <row r="59" spans="2:18" ht="15.75" thickBot="1">
      <c r="B59" s="2"/>
      <c r="C59" s="13" t="s">
        <v>1813</v>
      </c>
      <c r="D59" s="14">
        <v>0.245</v>
      </c>
      <c r="E59" s="15">
        <v>0.33</v>
      </c>
      <c r="F59" s="14">
        <v>3.6</v>
      </c>
      <c r="G59" s="28" t="s">
        <v>1520</v>
      </c>
      <c r="H59" s="136">
        <v>13</v>
      </c>
      <c r="I59" s="14" t="s">
        <v>858</v>
      </c>
      <c r="J59" s="28">
        <v>2900</v>
      </c>
      <c r="K59" s="38" t="s">
        <v>851</v>
      </c>
      <c r="L59" s="39">
        <v>3</v>
      </c>
      <c r="M59" s="42">
        <f>0.2*0.148*0.177</f>
        <v>5.2392000000000003E-3</v>
      </c>
      <c r="N59" s="78">
        <v>144.58500000000001</v>
      </c>
      <c r="O59" s="78"/>
      <c r="P59" s="117"/>
      <c r="Q59" s="117"/>
      <c r="R59" s="2"/>
    </row>
    <row r="60" spans="2:18" ht="15.75" thickBot="1">
      <c r="B60" s="2"/>
      <c r="C60" s="13" t="s">
        <v>1814</v>
      </c>
      <c r="D60" s="14">
        <v>0.1</v>
      </c>
      <c r="E60" s="15">
        <v>0.13</v>
      </c>
      <c r="F60" s="14">
        <v>1.5</v>
      </c>
      <c r="G60" s="28" t="s">
        <v>1520</v>
      </c>
      <c r="H60" s="136">
        <v>9</v>
      </c>
      <c r="I60" s="14" t="s">
        <v>856</v>
      </c>
      <c r="J60" s="28">
        <v>2900</v>
      </c>
      <c r="K60" s="38" t="s">
        <v>851</v>
      </c>
      <c r="L60" s="39">
        <v>2.7</v>
      </c>
      <c r="M60" s="42">
        <f>0.16*0.133*0.148</f>
        <v>3.1494399999999999E-3</v>
      </c>
      <c r="N60" s="78">
        <v>101.03100000000001</v>
      </c>
      <c r="O60" s="78"/>
      <c r="P60" s="117"/>
      <c r="Q60" s="117"/>
      <c r="R60" s="2"/>
    </row>
    <row r="61" spans="2:18" ht="15.75" thickBot="1">
      <c r="B61" s="2"/>
      <c r="C61" s="13" t="s">
        <v>1815</v>
      </c>
      <c r="D61" s="14">
        <v>0.12</v>
      </c>
      <c r="E61" s="15">
        <v>0.16</v>
      </c>
      <c r="F61" s="14">
        <v>1.8</v>
      </c>
      <c r="G61" s="28" t="s">
        <v>1520</v>
      </c>
      <c r="H61" s="136">
        <v>10</v>
      </c>
      <c r="I61" s="14" t="s">
        <v>856</v>
      </c>
      <c r="J61" s="28">
        <v>2900</v>
      </c>
      <c r="K61" s="38" t="s">
        <v>851</v>
      </c>
      <c r="L61" s="39">
        <v>2.8</v>
      </c>
      <c r="M61" s="42">
        <f>0.16*0.133*0.158</f>
        <v>3.3622400000000003E-3</v>
      </c>
      <c r="N61" s="78">
        <v>107.10000000000001</v>
      </c>
      <c r="O61" s="78"/>
      <c r="P61" s="117"/>
      <c r="Q61" s="117"/>
      <c r="R61" s="2"/>
    </row>
    <row r="62" spans="2:18" ht="15.75" thickBot="1">
      <c r="B62" s="140" t="s">
        <v>1816</v>
      </c>
      <c r="C62" s="13" t="s">
        <v>1817</v>
      </c>
      <c r="D62" s="14">
        <v>0.245</v>
      </c>
      <c r="E62" s="15">
        <v>0.33</v>
      </c>
      <c r="F62" s="14">
        <v>3.6</v>
      </c>
      <c r="G62" s="28" t="s">
        <v>1520</v>
      </c>
      <c r="H62" s="136">
        <v>13</v>
      </c>
      <c r="I62" s="14" t="s">
        <v>858</v>
      </c>
      <c r="J62" s="28">
        <v>2900</v>
      </c>
      <c r="K62" s="38" t="s">
        <v>851</v>
      </c>
      <c r="L62" s="39">
        <v>3</v>
      </c>
      <c r="M62" s="42">
        <f>0.2*0.148*0.177</f>
        <v>5.2392000000000003E-3</v>
      </c>
      <c r="N62" s="78">
        <v>162.435</v>
      </c>
      <c r="O62" s="78"/>
      <c r="P62" s="117"/>
      <c r="Q62" s="117"/>
      <c r="R62" s="2"/>
    </row>
    <row r="63" spans="2:18" ht="15.75" thickBot="1">
      <c r="B63" s="2"/>
      <c r="C63" s="13" t="s">
        <v>1818</v>
      </c>
      <c r="D63" s="14">
        <v>0.32</v>
      </c>
      <c r="E63" s="15">
        <v>0.43</v>
      </c>
      <c r="F63" s="14">
        <v>4</v>
      </c>
      <c r="G63" s="28" t="s">
        <v>1520</v>
      </c>
      <c r="H63" s="136">
        <v>15</v>
      </c>
      <c r="I63" s="14" t="s">
        <v>858</v>
      </c>
      <c r="J63" s="28">
        <v>2900</v>
      </c>
      <c r="K63" s="38" t="s">
        <v>851</v>
      </c>
      <c r="L63" s="39">
        <v>4</v>
      </c>
      <c r="M63" s="42">
        <f>0.22*0.15*0.19</f>
        <v>6.2700000000000004E-3</v>
      </c>
      <c r="N63" s="78">
        <v>175.64400000000003</v>
      </c>
      <c r="O63" s="78"/>
      <c r="P63" s="117"/>
      <c r="Q63" s="117"/>
      <c r="R63" s="2"/>
    </row>
    <row r="64" spans="2:18" ht="23.25" thickBot="1">
      <c r="B64" s="7"/>
      <c r="C64" s="63"/>
      <c r="D64" s="63"/>
      <c r="E64" s="63"/>
      <c r="F64" s="63"/>
      <c r="G64" s="63"/>
      <c r="H64" s="63"/>
      <c r="I64" s="63"/>
      <c r="J64" s="1"/>
      <c r="K64" s="63"/>
      <c r="L64" s="1"/>
      <c r="M64" s="1"/>
      <c r="N64" s="63"/>
      <c r="O64" s="63"/>
      <c r="P64" s="117"/>
      <c r="Q64" s="117"/>
      <c r="R64" s="1"/>
    </row>
    <row r="65" spans="2:18" ht="15">
      <c r="C65" s="44" t="s">
        <v>190</v>
      </c>
      <c r="D65" s="45" t="s">
        <v>1808</v>
      </c>
      <c r="E65" s="46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117"/>
      <c r="Q65" s="117"/>
      <c r="R65" s="117"/>
    </row>
    <row r="66" spans="2:18" ht="15">
      <c r="C66" s="47" t="s">
        <v>192</v>
      </c>
      <c r="D66" s="48" t="s">
        <v>877</v>
      </c>
      <c r="E66" s="49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117"/>
      <c r="Q66" s="117"/>
      <c r="R66" s="117"/>
    </row>
    <row r="67" spans="2:18" ht="15">
      <c r="C67" s="47" t="s">
        <v>194</v>
      </c>
      <c r="D67" s="48" t="s">
        <v>877</v>
      </c>
      <c r="E67" s="49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117"/>
      <c r="Q67" s="117"/>
      <c r="R67" s="117"/>
    </row>
    <row r="68" spans="2:18" ht="15">
      <c r="B68" s="117"/>
      <c r="C68" s="47" t="s">
        <v>878</v>
      </c>
      <c r="D68" s="48" t="s">
        <v>879</v>
      </c>
      <c r="E68" s="49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117"/>
      <c r="Q68" s="117"/>
      <c r="R68" s="117"/>
    </row>
    <row r="69" spans="2:18" ht="15">
      <c r="B69" s="140" t="s">
        <v>1819</v>
      </c>
      <c r="C69" s="60" t="s">
        <v>880</v>
      </c>
      <c r="D69" s="56" t="s">
        <v>881</v>
      </c>
      <c r="E69" s="57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117"/>
      <c r="Q69" s="117"/>
      <c r="R69" s="117"/>
    </row>
    <row r="70" spans="2:18" ht="15">
      <c r="B70" s="117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117"/>
      <c r="Q70" s="117"/>
      <c r="R70" s="117"/>
    </row>
    <row r="71" spans="2:18" ht="25.5">
      <c r="B71" s="4"/>
      <c r="C71" s="113" t="s">
        <v>1785</v>
      </c>
      <c r="D71" s="62"/>
      <c r="E71" s="62"/>
      <c r="F71" s="62"/>
      <c r="G71" s="62"/>
      <c r="H71" s="62"/>
      <c r="I71" s="62"/>
      <c r="J71" s="17"/>
      <c r="K71" s="62"/>
      <c r="L71" s="29"/>
      <c r="M71" s="29"/>
      <c r="N71" s="62"/>
      <c r="O71" s="62"/>
      <c r="P71" s="117"/>
      <c r="Q71" s="117"/>
      <c r="R71" s="1"/>
    </row>
    <row r="72" spans="2:18" ht="23.25" thickBot="1">
      <c r="B72" s="7"/>
      <c r="C72" s="63"/>
      <c r="D72" s="63"/>
      <c r="E72" s="63"/>
      <c r="F72" s="63"/>
      <c r="G72" s="63"/>
      <c r="H72" s="63"/>
      <c r="I72" s="63"/>
      <c r="J72" s="1"/>
      <c r="K72" s="63"/>
      <c r="L72" s="1"/>
      <c r="M72" s="1"/>
      <c r="N72" s="63"/>
      <c r="O72" s="63"/>
      <c r="P72" s="117"/>
      <c r="Q72" s="117"/>
      <c r="R72" s="1"/>
    </row>
    <row r="73" spans="2:18" ht="15">
      <c r="B73" s="3"/>
      <c r="C73" s="253" t="s">
        <v>0</v>
      </c>
      <c r="D73" s="257" t="s">
        <v>852</v>
      </c>
      <c r="E73" s="253"/>
      <c r="F73" s="257" t="s">
        <v>2</v>
      </c>
      <c r="G73" s="258"/>
      <c r="H73" s="258"/>
      <c r="I73" s="18" t="s">
        <v>3</v>
      </c>
      <c r="J73" s="19" t="s">
        <v>4</v>
      </c>
      <c r="K73" s="30" t="s">
        <v>5</v>
      </c>
      <c r="L73" s="31" t="s">
        <v>6</v>
      </c>
      <c r="M73" s="31" t="s">
        <v>7</v>
      </c>
      <c r="N73" s="259" t="s">
        <v>8</v>
      </c>
      <c r="O73" s="255"/>
      <c r="P73" s="117"/>
      <c r="Q73" s="117"/>
      <c r="R73" s="2"/>
    </row>
    <row r="74" spans="2:18" ht="15">
      <c r="B74" s="9"/>
      <c r="C74" s="254"/>
      <c r="D74" s="256"/>
      <c r="E74" s="254"/>
      <c r="F74" s="20" t="s">
        <v>853</v>
      </c>
      <c r="G74" s="33" t="s">
        <v>10</v>
      </c>
      <c r="H74" s="10" t="s">
        <v>854</v>
      </c>
      <c r="I74" s="21"/>
      <c r="J74" s="22"/>
      <c r="K74" s="32"/>
      <c r="L74" s="33"/>
      <c r="M74" s="33"/>
      <c r="N74" s="260" t="s">
        <v>11</v>
      </c>
      <c r="O74" s="261"/>
      <c r="P74" s="117"/>
      <c r="Q74" s="117"/>
      <c r="R74" s="3"/>
    </row>
    <row r="75" spans="2:18" ht="15.75" thickBot="1">
      <c r="B75" s="3"/>
      <c r="C75" s="11"/>
      <c r="D75" s="12" t="s">
        <v>12</v>
      </c>
      <c r="E75" s="11" t="s">
        <v>13</v>
      </c>
      <c r="F75" s="23" t="s">
        <v>14</v>
      </c>
      <c r="G75" s="133" t="s">
        <v>15</v>
      </c>
      <c r="H75" s="134" t="s">
        <v>15</v>
      </c>
      <c r="I75" s="25" t="s">
        <v>16</v>
      </c>
      <c r="J75" s="26" t="s">
        <v>17</v>
      </c>
      <c r="K75" s="34"/>
      <c r="L75" s="35" t="s">
        <v>18</v>
      </c>
      <c r="M75" s="36" t="s">
        <v>19</v>
      </c>
      <c r="N75" s="37" t="s">
        <v>486</v>
      </c>
      <c r="O75" s="43" t="s">
        <v>487</v>
      </c>
      <c r="P75" s="117"/>
      <c r="Q75" s="117"/>
      <c r="R75" s="2"/>
    </row>
    <row r="76" spans="2:18" ht="15.75" thickBot="1">
      <c r="B76" s="2"/>
      <c r="C76" s="13" t="s">
        <v>885</v>
      </c>
      <c r="D76" s="14">
        <v>0.37</v>
      </c>
      <c r="E76" s="15">
        <v>0.5</v>
      </c>
      <c r="F76" s="14">
        <v>10</v>
      </c>
      <c r="G76" s="28" t="s">
        <v>1520</v>
      </c>
      <c r="H76" s="136">
        <v>10</v>
      </c>
      <c r="I76" s="59" t="s">
        <v>863</v>
      </c>
      <c r="J76" s="28">
        <v>2900</v>
      </c>
      <c r="K76" s="38" t="s">
        <v>566</v>
      </c>
      <c r="L76" s="39">
        <v>7.3</v>
      </c>
      <c r="M76" s="42">
        <f>0.24*0.185*0.21</f>
        <v>9.323999999999999E-3</v>
      </c>
      <c r="N76" s="78">
        <v>177.42900000000003</v>
      </c>
      <c r="O76" s="78"/>
      <c r="P76" s="117"/>
      <c r="Q76" s="117"/>
      <c r="R76" s="2"/>
    </row>
    <row r="77" spans="2:18" ht="15.75" thickBot="1">
      <c r="B77" s="2"/>
      <c r="C77" s="13" t="s">
        <v>886</v>
      </c>
      <c r="D77" s="14">
        <v>0.55000000000000004</v>
      </c>
      <c r="E77" s="15">
        <v>0.75</v>
      </c>
      <c r="F77" s="14">
        <v>13</v>
      </c>
      <c r="G77" s="28" t="s">
        <v>1520</v>
      </c>
      <c r="H77" s="136">
        <v>12</v>
      </c>
      <c r="I77" s="59" t="s">
        <v>863</v>
      </c>
      <c r="J77" s="28">
        <v>2900</v>
      </c>
      <c r="K77" s="38" t="s">
        <v>566</v>
      </c>
      <c r="L77" s="39">
        <v>8.5</v>
      </c>
      <c r="M77" s="42">
        <f>0.24*0.185*0.21</f>
        <v>9.323999999999999E-3</v>
      </c>
      <c r="N77" s="78">
        <v>207.06</v>
      </c>
      <c r="O77" s="78"/>
      <c r="P77" s="117"/>
      <c r="Q77" s="117"/>
      <c r="R77" s="2"/>
    </row>
    <row r="78" spans="2:18" ht="15.75" thickBot="1">
      <c r="B78" s="2"/>
      <c r="C78" s="13" t="s">
        <v>887</v>
      </c>
      <c r="D78" s="14">
        <v>0.37</v>
      </c>
      <c r="E78" s="15">
        <v>0.5</v>
      </c>
      <c r="F78" s="14">
        <v>10</v>
      </c>
      <c r="G78" s="28" t="s">
        <v>1520</v>
      </c>
      <c r="H78" s="136">
        <v>10</v>
      </c>
      <c r="I78" s="27" t="s">
        <v>136</v>
      </c>
      <c r="J78" s="28">
        <v>2900</v>
      </c>
      <c r="K78" s="38" t="s">
        <v>566</v>
      </c>
      <c r="L78" s="39">
        <v>14.8</v>
      </c>
      <c r="M78" s="42">
        <f>0.24*0.185*0.21</f>
        <v>9.323999999999999E-3</v>
      </c>
      <c r="N78" s="78">
        <v>179.21400000000003</v>
      </c>
      <c r="O78" s="78"/>
      <c r="P78" s="117"/>
      <c r="Q78" s="117"/>
      <c r="R78" s="2"/>
    </row>
    <row r="79" spans="2:18" ht="15.75" thickBot="1">
      <c r="B79" s="2"/>
      <c r="C79" s="13" t="s">
        <v>888</v>
      </c>
      <c r="D79" s="14">
        <v>0.55000000000000004</v>
      </c>
      <c r="E79" s="15">
        <v>0.75</v>
      </c>
      <c r="F79" s="14">
        <v>13</v>
      </c>
      <c r="G79" s="28" t="s">
        <v>1520</v>
      </c>
      <c r="H79" s="136">
        <v>12</v>
      </c>
      <c r="I79" s="27" t="s">
        <v>136</v>
      </c>
      <c r="J79" s="28">
        <v>2900</v>
      </c>
      <c r="K79" s="38" t="s">
        <v>566</v>
      </c>
      <c r="L79" s="39">
        <v>15.3</v>
      </c>
      <c r="M79" s="42">
        <f>0.24*0.185*0.25</f>
        <v>1.1099999999999999E-2</v>
      </c>
      <c r="N79" s="78">
        <v>208.845</v>
      </c>
      <c r="O79" s="78"/>
      <c r="P79" s="117"/>
      <c r="Q79" s="117"/>
      <c r="R79" s="2"/>
    </row>
    <row r="80" spans="2:18" ht="15.75" thickBot="1">
      <c r="B80" s="54"/>
      <c r="C80" s="13" t="s">
        <v>889</v>
      </c>
      <c r="D80" s="14">
        <v>0.75</v>
      </c>
      <c r="E80" s="15">
        <v>1</v>
      </c>
      <c r="F80" s="14">
        <v>14.4</v>
      </c>
      <c r="G80" s="28" t="s">
        <v>1520</v>
      </c>
      <c r="H80" s="136">
        <v>12</v>
      </c>
      <c r="I80" s="27" t="s">
        <v>136</v>
      </c>
      <c r="J80" s="28">
        <v>2900</v>
      </c>
      <c r="K80" s="38" t="s">
        <v>566</v>
      </c>
      <c r="L80" s="39">
        <v>15.7</v>
      </c>
      <c r="M80" s="42">
        <f>0.27*0.22*0.25</f>
        <v>1.485E-2</v>
      </c>
      <c r="N80" s="78">
        <v>279.17399999999998</v>
      </c>
      <c r="O80" s="78"/>
      <c r="P80" s="117"/>
      <c r="Q80" s="117"/>
      <c r="R80" s="2"/>
    </row>
    <row r="81" spans="2:18" ht="15.75" thickBot="1">
      <c r="B81" s="54"/>
      <c r="C81" s="13" t="s">
        <v>890</v>
      </c>
      <c r="D81" s="14">
        <v>1.1000000000000001</v>
      </c>
      <c r="E81" s="15">
        <v>1.5</v>
      </c>
      <c r="F81" s="14">
        <v>14.4</v>
      </c>
      <c r="G81" s="28" t="s">
        <v>1520</v>
      </c>
      <c r="H81" s="136">
        <v>16</v>
      </c>
      <c r="I81" s="27" t="s">
        <v>136</v>
      </c>
      <c r="J81" s="28">
        <v>2900</v>
      </c>
      <c r="K81" s="38" t="s">
        <v>566</v>
      </c>
      <c r="L81" s="39">
        <v>17.3</v>
      </c>
      <c r="M81" s="42">
        <f>0.27*0.22*0.25</f>
        <v>1.485E-2</v>
      </c>
      <c r="N81" s="78">
        <v>315.23099999999999</v>
      </c>
      <c r="O81" s="78"/>
      <c r="P81" s="117"/>
      <c r="Q81" s="117"/>
      <c r="R81" s="2"/>
    </row>
    <row r="82" spans="2:18" ht="15.75" thickBot="1">
      <c r="B82" s="140"/>
      <c r="C82" s="13" t="s">
        <v>891</v>
      </c>
      <c r="D82" s="14">
        <v>1.5</v>
      </c>
      <c r="E82" s="15">
        <v>2</v>
      </c>
      <c r="F82" s="14">
        <v>14.4</v>
      </c>
      <c r="G82" s="28" t="s">
        <v>1520</v>
      </c>
      <c r="H82" s="136">
        <v>20</v>
      </c>
      <c r="I82" s="27" t="s">
        <v>136</v>
      </c>
      <c r="J82" s="28">
        <v>2900</v>
      </c>
      <c r="K82" s="38" t="s">
        <v>566</v>
      </c>
      <c r="L82" s="39">
        <v>18.899999999999999</v>
      </c>
      <c r="M82" s="42">
        <f>0.27*0.22*0.25</f>
        <v>1.485E-2</v>
      </c>
      <c r="N82" s="78">
        <v>365.56800000000004</v>
      </c>
      <c r="O82" s="78"/>
      <c r="P82" s="117"/>
      <c r="Q82" s="117"/>
      <c r="R82" s="2"/>
    </row>
    <row r="83" spans="2:18" ht="15.75" thickBot="1">
      <c r="B83" s="140"/>
      <c r="C83" s="13" t="s">
        <v>892</v>
      </c>
      <c r="D83" s="14">
        <v>0.75</v>
      </c>
      <c r="E83" s="15">
        <v>1</v>
      </c>
      <c r="F83" s="14">
        <v>19</v>
      </c>
      <c r="G83" s="28" t="s">
        <v>1520</v>
      </c>
      <c r="H83" s="136">
        <v>9</v>
      </c>
      <c r="I83" s="27" t="s">
        <v>160</v>
      </c>
      <c r="J83" s="28">
        <v>2900</v>
      </c>
      <c r="K83" s="38" t="s">
        <v>566</v>
      </c>
      <c r="L83" s="39">
        <v>19.5</v>
      </c>
      <c r="M83" s="42">
        <f>0.3*0.22*0.25</f>
        <v>1.6500000000000001E-2</v>
      </c>
      <c r="N83" s="78">
        <v>279.17399999999998</v>
      </c>
      <c r="O83" s="78"/>
      <c r="P83" s="117"/>
      <c r="Q83" s="117"/>
      <c r="R83" s="2"/>
    </row>
    <row r="84" spans="2:18" ht="15.75" thickBot="1">
      <c r="B84" s="140"/>
      <c r="C84" s="13" t="s">
        <v>893</v>
      </c>
      <c r="D84" s="14">
        <v>1.1000000000000001</v>
      </c>
      <c r="E84" s="15">
        <v>1.5</v>
      </c>
      <c r="F84" s="14">
        <v>19</v>
      </c>
      <c r="G84" s="28" t="s">
        <v>1520</v>
      </c>
      <c r="H84" s="136">
        <v>12</v>
      </c>
      <c r="I84" s="27" t="s">
        <v>160</v>
      </c>
      <c r="J84" s="28">
        <v>2900</v>
      </c>
      <c r="K84" s="38" t="s">
        <v>566</v>
      </c>
      <c r="L84" s="39">
        <v>20</v>
      </c>
      <c r="M84" s="42">
        <f>0.3*0.22*0.25</f>
        <v>1.6500000000000001E-2</v>
      </c>
      <c r="N84" s="78">
        <v>315.23099999999999</v>
      </c>
      <c r="O84" s="78"/>
      <c r="P84" s="117"/>
      <c r="Q84" s="117"/>
      <c r="R84" s="2"/>
    </row>
    <row r="85" spans="2:18" ht="15.75" thickBot="1">
      <c r="B85" s="140"/>
      <c r="C85" s="13" t="s">
        <v>894</v>
      </c>
      <c r="D85" s="14">
        <v>1.5</v>
      </c>
      <c r="E85" s="15">
        <v>2</v>
      </c>
      <c r="F85" s="14">
        <v>19</v>
      </c>
      <c r="G85" s="28" t="s">
        <v>1520</v>
      </c>
      <c r="H85" s="136">
        <v>16</v>
      </c>
      <c r="I85" s="27" t="s">
        <v>160</v>
      </c>
      <c r="J85" s="28">
        <v>2900</v>
      </c>
      <c r="K85" s="38" t="s">
        <v>566</v>
      </c>
      <c r="L85" s="39">
        <v>20.100000000000001</v>
      </c>
      <c r="M85" s="42">
        <f>0.3*0.22*0.25</f>
        <v>1.6500000000000001E-2</v>
      </c>
      <c r="N85" s="78">
        <v>365.56800000000004</v>
      </c>
      <c r="O85" s="78"/>
      <c r="P85" s="117"/>
      <c r="Q85" s="117"/>
      <c r="R85" s="2"/>
    </row>
    <row r="86" spans="2:18" ht="15.75" thickBot="1">
      <c r="B86" s="140"/>
      <c r="C86" s="13" t="s">
        <v>895</v>
      </c>
      <c r="D86" s="14">
        <v>1.1000000000000001</v>
      </c>
      <c r="E86" s="15">
        <v>1.5</v>
      </c>
      <c r="F86" s="14">
        <v>23</v>
      </c>
      <c r="G86" s="28" t="s">
        <v>1520</v>
      </c>
      <c r="H86" s="136">
        <v>12.5</v>
      </c>
      <c r="I86" s="27" t="s">
        <v>337</v>
      </c>
      <c r="J86" s="28">
        <v>2900</v>
      </c>
      <c r="K86" s="38" t="s">
        <v>566</v>
      </c>
      <c r="L86" s="39">
        <v>23.6</v>
      </c>
      <c r="M86" s="42">
        <f>0.32*0.22*0.28</f>
        <v>1.9712000000000004E-2</v>
      </c>
      <c r="N86" s="78">
        <v>326.65500000000003</v>
      </c>
      <c r="O86" s="78"/>
      <c r="P86" s="117"/>
      <c r="Q86" s="117"/>
      <c r="R86" s="2"/>
    </row>
    <row r="87" spans="2:18" ht="15.75" thickBot="1">
      <c r="B87" s="140"/>
      <c r="C87" s="13" t="s">
        <v>896</v>
      </c>
      <c r="D87" s="14">
        <v>1.5</v>
      </c>
      <c r="E87" s="15">
        <v>2</v>
      </c>
      <c r="F87" s="14">
        <v>26</v>
      </c>
      <c r="G87" s="28" t="s">
        <v>1520</v>
      </c>
      <c r="H87" s="136">
        <v>14.5</v>
      </c>
      <c r="I87" s="27" t="s">
        <v>337</v>
      </c>
      <c r="J87" s="28">
        <v>2900</v>
      </c>
      <c r="K87" s="38" t="s">
        <v>566</v>
      </c>
      <c r="L87" s="39">
        <v>24.6</v>
      </c>
      <c r="M87" s="42">
        <f>0.32*0.22*0.28</f>
        <v>1.9712000000000004E-2</v>
      </c>
      <c r="N87" s="78">
        <v>376.63499999999999</v>
      </c>
      <c r="O87" s="78"/>
      <c r="P87" s="117"/>
      <c r="Q87" s="117"/>
      <c r="R87" s="2"/>
    </row>
    <row r="88" spans="2:18" ht="15.75" thickBot="1">
      <c r="B88" s="140"/>
      <c r="C88" s="13" t="s">
        <v>1786</v>
      </c>
      <c r="D88" s="14">
        <v>1</v>
      </c>
      <c r="E88" s="15">
        <v>1.33</v>
      </c>
      <c r="F88" s="14">
        <v>32</v>
      </c>
      <c r="G88" s="28" t="s">
        <v>1520</v>
      </c>
      <c r="H88" s="136">
        <v>10</v>
      </c>
      <c r="I88" s="27" t="s">
        <v>370</v>
      </c>
      <c r="J88" s="28">
        <v>2900</v>
      </c>
      <c r="K88" s="38" t="s">
        <v>566</v>
      </c>
      <c r="L88" s="39">
        <v>26.2</v>
      </c>
      <c r="M88" s="42">
        <f>0.38*0.36*0.38</f>
        <v>5.1984000000000002E-2</v>
      </c>
      <c r="N88" s="78">
        <v>773.61899999999991</v>
      </c>
      <c r="O88" s="78"/>
      <c r="P88" s="117"/>
      <c r="Q88" s="117"/>
      <c r="R88" s="2"/>
    </row>
    <row r="89" spans="2:18" ht="15.75" thickBot="1">
      <c r="B89" s="140"/>
      <c r="C89" s="13" t="s">
        <v>1787</v>
      </c>
      <c r="D89" s="14">
        <v>1.3</v>
      </c>
      <c r="E89" s="15">
        <v>1.75</v>
      </c>
      <c r="F89" s="14">
        <v>35</v>
      </c>
      <c r="G89" s="28" t="s">
        <v>1520</v>
      </c>
      <c r="H89" s="136">
        <v>12.7</v>
      </c>
      <c r="I89" s="27" t="s">
        <v>370</v>
      </c>
      <c r="J89" s="28">
        <v>2900</v>
      </c>
      <c r="K89" s="38" t="s">
        <v>566</v>
      </c>
      <c r="L89" s="39">
        <v>29.5</v>
      </c>
      <c r="M89" s="42">
        <f>0.38*0.36*0.38</f>
        <v>5.1984000000000002E-2</v>
      </c>
      <c r="N89" s="78">
        <v>903.92399999999998</v>
      </c>
      <c r="O89" s="78"/>
      <c r="P89" s="117"/>
      <c r="Q89" s="117"/>
      <c r="R89" s="2"/>
    </row>
    <row r="90" spans="2:18" ht="23.25" thickBot="1">
      <c r="B90" s="7"/>
      <c r="C90" s="63"/>
      <c r="D90" s="63"/>
      <c r="E90" s="63"/>
      <c r="F90" s="63"/>
      <c r="G90" s="63"/>
      <c r="H90" s="63"/>
      <c r="I90" s="63"/>
      <c r="J90" s="1"/>
      <c r="K90" s="63"/>
      <c r="L90" s="1"/>
      <c r="M90" s="1"/>
      <c r="N90" s="63"/>
      <c r="O90" s="63"/>
      <c r="P90" s="117"/>
      <c r="Q90" s="117"/>
      <c r="R90" s="1"/>
    </row>
    <row r="91" spans="2:18" ht="15">
      <c r="C91" s="44" t="s">
        <v>190</v>
      </c>
      <c r="D91" s="45" t="s">
        <v>527</v>
      </c>
      <c r="E91" s="46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117"/>
      <c r="Q91" s="117"/>
      <c r="R91" s="117"/>
    </row>
    <row r="92" spans="2:18" ht="15">
      <c r="B92" s="54" t="s">
        <v>1788</v>
      </c>
      <c r="C92" s="47" t="s">
        <v>192</v>
      </c>
      <c r="D92" s="48" t="s">
        <v>830</v>
      </c>
      <c r="E92" s="49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117"/>
      <c r="Q92" s="117"/>
      <c r="R92" s="117"/>
    </row>
    <row r="93" spans="2:18" ht="15">
      <c r="C93" s="47" t="s">
        <v>194</v>
      </c>
      <c r="D93" s="48" t="s">
        <v>877</v>
      </c>
      <c r="E93" s="49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117"/>
      <c r="Q93" s="117"/>
      <c r="R93" s="117"/>
    </row>
    <row r="94" spans="2:18" ht="15">
      <c r="B94" s="117"/>
      <c r="C94" s="47" t="s">
        <v>878</v>
      </c>
      <c r="D94" s="48" t="s">
        <v>879</v>
      </c>
      <c r="E94" s="49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117"/>
      <c r="Q94" s="117"/>
      <c r="R94" s="117"/>
    </row>
    <row r="95" spans="2:18" ht="15">
      <c r="B95" s="54"/>
      <c r="C95" s="60" t="s">
        <v>880</v>
      </c>
      <c r="D95" s="56" t="s">
        <v>881</v>
      </c>
      <c r="E95" s="57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117"/>
      <c r="Q95" s="117"/>
      <c r="R95" s="117"/>
    </row>
    <row r="96" spans="2:18" ht="15">
      <c r="B96" s="117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117"/>
      <c r="Q96" s="117"/>
      <c r="R96" s="117"/>
    </row>
    <row r="97" spans="2:17" ht="15">
      <c r="P97" s="117"/>
      <c r="Q97" s="117"/>
    </row>
    <row r="98" spans="2:17" ht="15">
      <c r="P98" s="117"/>
      <c r="Q98" s="117"/>
    </row>
    <row r="99" spans="2:17" ht="15">
      <c r="P99" s="117"/>
      <c r="Q99" s="117"/>
    </row>
    <row r="100" spans="2:17" ht="15">
      <c r="P100" s="117"/>
      <c r="Q100" s="117"/>
    </row>
    <row r="101" spans="2:17" ht="15">
      <c r="P101" s="117"/>
      <c r="Q101" s="117"/>
    </row>
    <row r="102" spans="2:17" ht="15">
      <c r="P102" s="117"/>
      <c r="Q102" s="117"/>
    </row>
    <row r="103" spans="2:17" ht="25.5">
      <c r="B103" s="4"/>
      <c r="C103" s="113" t="s">
        <v>2596</v>
      </c>
      <c r="D103" s="62"/>
      <c r="E103" s="62"/>
      <c r="F103" s="62"/>
      <c r="G103" s="62"/>
      <c r="H103" s="62"/>
      <c r="I103" s="62"/>
      <c r="J103" s="17"/>
      <c r="K103" s="62"/>
      <c r="L103" s="29"/>
      <c r="M103" s="29"/>
      <c r="N103" s="62"/>
      <c r="O103" s="62"/>
      <c r="P103" s="117"/>
      <c r="Q103" s="117"/>
    </row>
    <row r="104" spans="2:17" ht="23.25" thickBot="1">
      <c r="B104" s="7"/>
      <c r="C104" s="63"/>
      <c r="D104" s="63"/>
      <c r="E104" s="63"/>
      <c r="F104" s="63"/>
      <c r="G104" s="63"/>
      <c r="H104" s="63"/>
      <c r="I104" s="63"/>
      <c r="J104" s="1"/>
      <c r="K104" s="63"/>
      <c r="L104" s="1"/>
      <c r="M104" s="1"/>
      <c r="N104" s="63"/>
      <c r="O104" s="63"/>
      <c r="P104" s="117"/>
      <c r="Q104" s="117"/>
    </row>
    <row r="105" spans="2:17" ht="15">
      <c r="B105" s="3"/>
      <c r="C105" s="253" t="s">
        <v>0</v>
      </c>
      <c r="D105" s="257" t="s">
        <v>852</v>
      </c>
      <c r="E105" s="253"/>
      <c r="F105" s="257" t="s">
        <v>2</v>
      </c>
      <c r="G105" s="258"/>
      <c r="H105" s="258"/>
      <c r="I105" s="18" t="s">
        <v>3</v>
      </c>
      <c r="J105" s="19" t="s">
        <v>4</v>
      </c>
      <c r="K105" s="30" t="s">
        <v>5</v>
      </c>
      <c r="L105" s="31" t="s">
        <v>6</v>
      </c>
      <c r="M105" s="31" t="s">
        <v>7</v>
      </c>
      <c r="N105" s="259" t="s">
        <v>8</v>
      </c>
      <c r="O105" s="255"/>
      <c r="P105" s="117"/>
      <c r="Q105" s="117"/>
    </row>
    <row r="106" spans="2:17" ht="15">
      <c r="B106" s="9"/>
      <c r="C106" s="254"/>
      <c r="D106" s="256"/>
      <c r="E106" s="254"/>
      <c r="F106" s="20" t="s">
        <v>853</v>
      </c>
      <c r="G106" s="33" t="s">
        <v>10</v>
      </c>
      <c r="H106" s="10" t="s">
        <v>854</v>
      </c>
      <c r="I106" s="21"/>
      <c r="J106" s="22"/>
      <c r="K106" s="32"/>
      <c r="L106" s="33"/>
      <c r="M106" s="33"/>
      <c r="N106" s="260" t="s">
        <v>11</v>
      </c>
      <c r="O106" s="261"/>
      <c r="P106" s="117"/>
      <c r="Q106" s="117"/>
    </row>
    <row r="107" spans="2:17" ht="15.75" thickBot="1">
      <c r="B107" s="3"/>
      <c r="C107" s="11"/>
      <c r="D107" s="12" t="s">
        <v>12</v>
      </c>
      <c r="E107" s="11" t="s">
        <v>13</v>
      </c>
      <c r="F107" s="23" t="s">
        <v>14</v>
      </c>
      <c r="G107" s="133" t="s">
        <v>15</v>
      </c>
      <c r="H107" s="134" t="s">
        <v>15</v>
      </c>
      <c r="I107" s="25" t="s">
        <v>16</v>
      </c>
      <c r="J107" s="26" t="s">
        <v>17</v>
      </c>
      <c r="K107" s="34"/>
      <c r="L107" s="35" t="s">
        <v>18</v>
      </c>
      <c r="M107" s="36" t="s">
        <v>19</v>
      </c>
      <c r="N107" s="37" t="s">
        <v>486</v>
      </c>
      <c r="O107" s="43" t="s">
        <v>487</v>
      </c>
      <c r="P107" s="117"/>
      <c r="Q107" s="117"/>
    </row>
    <row r="108" spans="2:17" ht="15.75" thickBot="1">
      <c r="B108" s="2"/>
      <c r="C108" s="13" t="s">
        <v>2930</v>
      </c>
      <c r="D108" s="14">
        <v>0.23499999999999999</v>
      </c>
      <c r="E108" s="15">
        <v>0.32</v>
      </c>
      <c r="F108" s="14">
        <v>10</v>
      </c>
      <c r="G108" s="28" t="s">
        <v>1520</v>
      </c>
      <c r="H108" s="136">
        <v>6.5</v>
      </c>
      <c r="I108" s="14" t="s">
        <v>107</v>
      </c>
      <c r="J108" s="28">
        <v>2900</v>
      </c>
      <c r="K108" s="38" t="s">
        <v>566</v>
      </c>
      <c r="L108" s="39">
        <v>19.5</v>
      </c>
      <c r="M108" s="42">
        <f>0.33*0.26*0.33</f>
        <v>2.8314000000000002E-2</v>
      </c>
      <c r="N108" s="78">
        <v>491.08104000000009</v>
      </c>
      <c r="O108" s="78">
        <v>491.08104000000009</v>
      </c>
      <c r="P108" s="117"/>
      <c r="Q108" s="117"/>
    </row>
    <row r="109" spans="2:17" ht="15.75" thickBot="1">
      <c r="B109" s="2"/>
      <c r="C109" s="13" t="s">
        <v>2931</v>
      </c>
      <c r="D109" s="14">
        <v>0.37</v>
      </c>
      <c r="E109" s="15">
        <v>0.5</v>
      </c>
      <c r="F109" s="14">
        <v>12</v>
      </c>
      <c r="G109" s="28" t="s">
        <v>1520</v>
      </c>
      <c r="H109" s="136">
        <v>9.3000000000000007</v>
      </c>
      <c r="I109" s="14" t="s">
        <v>107</v>
      </c>
      <c r="J109" s="28">
        <v>2900</v>
      </c>
      <c r="K109" s="38" t="s">
        <v>566</v>
      </c>
      <c r="L109" s="39">
        <v>20</v>
      </c>
      <c r="M109" s="42">
        <f>0.33*0.26*0.33</f>
        <v>2.8314000000000002E-2</v>
      </c>
      <c r="N109" s="78">
        <v>502.10928000000007</v>
      </c>
      <c r="O109" s="78">
        <v>502.10928000000007</v>
      </c>
      <c r="P109" s="117"/>
      <c r="Q109" s="117"/>
    </row>
    <row r="110" spans="2:17" ht="15.75" thickBot="1">
      <c r="B110" s="2"/>
      <c r="C110" s="13" t="s">
        <v>2932</v>
      </c>
      <c r="D110" s="14">
        <v>0.26</v>
      </c>
      <c r="E110" s="15">
        <v>0.35</v>
      </c>
      <c r="F110" s="14">
        <v>11</v>
      </c>
      <c r="G110" s="28" t="s">
        <v>1520</v>
      </c>
      <c r="H110" s="136">
        <v>6</v>
      </c>
      <c r="I110" s="27" t="s">
        <v>136</v>
      </c>
      <c r="J110" s="28">
        <v>2900</v>
      </c>
      <c r="K110" s="38" t="s">
        <v>566</v>
      </c>
      <c r="L110" s="39">
        <v>20.5</v>
      </c>
      <c r="M110" s="42">
        <f>0.33*0.26*0.33</f>
        <v>2.8314000000000002E-2</v>
      </c>
      <c r="N110" s="78">
        <v>544.9248</v>
      </c>
      <c r="O110" s="78">
        <v>544.9248</v>
      </c>
      <c r="P110" s="117"/>
      <c r="Q110" s="117"/>
    </row>
    <row r="111" spans="2:17" ht="15.75" thickBot="1">
      <c r="B111" s="2"/>
      <c r="C111" s="13" t="s">
        <v>2933</v>
      </c>
      <c r="D111" s="14">
        <v>0.56000000000000005</v>
      </c>
      <c r="E111" s="15">
        <v>0.75</v>
      </c>
      <c r="F111" s="14">
        <v>14</v>
      </c>
      <c r="G111" s="28" t="s">
        <v>1520</v>
      </c>
      <c r="H111" s="136">
        <v>10</v>
      </c>
      <c r="I111" s="27" t="s">
        <v>136</v>
      </c>
      <c r="J111" s="28">
        <v>2900</v>
      </c>
      <c r="K111" s="38" t="s">
        <v>566</v>
      </c>
      <c r="L111" s="39">
        <v>26</v>
      </c>
      <c r="M111" s="42">
        <f>0.36*0.28*0.34</f>
        <v>3.4272000000000004E-2</v>
      </c>
      <c r="N111" s="78">
        <v>595.20060000000001</v>
      </c>
      <c r="O111" s="78">
        <v>595.20060000000001</v>
      </c>
      <c r="P111" s="117"/>
      <c r="Q111" s="117"/>
    </row>
    <row r="112" spans="2:17" ht="15.75" thickBot="1">
      <c r="B112" s="54"/>
      <c r="C112" s="13" t="s">
        <v>2934</v>
      </c>
      <c r="D112" s="14">
        <v>0.75</v>
      </c>
      <c r="E112" s="15">
        <v>1.01</v>
      </c>
      <c r="F112" s="14">
        <v>16</v>
      </c>
      <c r="G112" s="28" t="s">
        <v>1520</v>
      </c>
      <c r="H112" s="136">
        <v>13</v>
      </c>
      <c r="I112" s="27" t="s">
        <v>136</v>
      </c>
      <c r="J112" s="28">
        <v>2900</v>
      </c>
      <c r="K112" s="38" t="s">
        <v>566</v>
      </c>
      <c r="L112" s="39">
        <v>26</v>
      </c>
      <c r="M112" s="42">
        <f>0.36*0.28*0.34</f>
        <v>3.4272000000000004E-2</v>
      </c>
      <c r="N112" s="78">
        <v>611.41860000000008</v>
      </c>
      <c r="O112" s="78">
        <v>611.41860000000008</v>
      </c>
      <c r="P112" s="117"/>
      <c r="Q112" s="117"/>
    </row>
    <row r="113" spans="2:17" ht="15.75" thickBot="1">
      <c r="B113" s="54"/>
      <c r="C113" s="13" t="s">
        <v>2935</v>
      </c>
      <c r="D113" s="14">
        <v>1.0900000000000001</v>
      </c>
      <c r="E113" s="15">
        <v>1.46</v>
      </c>
      <c r="F113" s="14">
        <v>16.5</v>
      </c>
      <c r="G113" s="28" t="s">
        <v>1520</v>
      </c>
      <c r="H113" s="136">
        <v>18</v>
      </c>
      <c r="I113" s="27" t="s">
        <v>136</v>
      </c>
      <c r="J113" s="28">
        <v>2900</v>
      </c>
      <c r="K113" s="38" t="s">
        <v>566</v>
      </c>
      <c r="L113" s="39">
        <v>25.5</v>
      </c>
      <c r="M113" s="42">
        <f>0.36*0.28*0.365</f>
        <v>3.6791999999999998E-2</v>
      </c>
      <c r="N113" s="78">
        <v>628.28532000000007</v>
      </c>
      <c r="O113" s="78">
        <v>628.28532000000007</v>
      </c>
      <c r="P113" s="117"/>
      <c r="Q113" s="117"/>
    </row>
    <row r="114" spans="2:17" ht="15.75" thickBot="1">
      <c r="B114" s="140"/>
      <c r="C114" s="13" t="s">
        <v>2936</v>
      </c>
      <c r="D114" s="14">
        <v>0.36</v>
      </c>
      <c r="E114" s="15">
        <v>0.48</v>
      </c>
      <c r="F114" s="14">
        <v>16</v>
      </c>
      <c r="G114" s="28" t="s">
        <v>1520</v>
      </c>
      <c r="H114" s="136">
        <v>6.2</v>
      </c>
      <c r="I114" s="27" t="s">
        <v>160</v>
      </c>
      <c r="J114" s="28">
        <v>2900</v>
      </c>
      <c r="K114" s="38" t="s">
        <v>566</v>
      </c>
      <c r="L114" s="39">
        <v>24</v>
      </c>
      <c r="M114" s="42">
        <f>0.36*0.28*0.34</f>
        <v>3.4272000000000004E-2</v>
      </c>
      <c r="N114" s="78">
        <v>566.33256000000006</v>
      </c>
      <c r="O114" s="78">
        <v>566.33256000000006</v>
      </c>
      <c r="P114" s="117"/>
      <c r="Q114" s="117"/>
    </row>
    <row r="115" spans="2:17" ht="15.75" thickBot="1">
      <c r="B115" s="140"/>
      <c r="C115" s="13" t="s">
        <v>2937</v>
      </c>
      <c r="D115" s="14">
        <v>0.68</v>
      </c>
      <c r="E115" s="15">
        <v>0.91</v>
      </c>
      <c r="F115" s="14">
        <v>20</v>
      </c>
      <c r="G115" s="28" t="s">
        <v>1520</v>
      </c>
      <c r="H115" s="136">
        <v>9.5</v>
      </c>
      <c r="I115" s="27" t="s">
        <v>160</v>
      </c>
      <c r="J115" s="28">
        <v>2900</v>
      </c>
      <c r="K115" s="38" t="s">
        <v>566</v>
      </c>
      <c r="L115" s="39">
        <v>28</v>
      </c>
      <c r="M115" s="42">
        <f>0.36*0.28*0.34</f>
        <v>3.4272000000000004E-2</v>
      </c>
      <c r="N115" s="78">
        <v>579.95568000000003</v>
      </c>
      <c r="O115" s="78">
        <v>579.95568000000003</v>
      </c>
      <c r="P115" s="117"/>
      <c r="Q115" s="117"/>
    </row>
    <row r="116" spans="2:17" ht="15.75" thickBot="1">
      <c r="B116" s="140"/>
      <c r="C116" s="13" t="s">
        <v>2938</v>
      </c>
      <c r="D116" s="14">
        <v>1.1599999999999999</v>
      </c>
      <c r="E116" s="15">
        <v>1.56</v>
      </c>
      <c r="F116" s="14">
        <v>26</v>
      </c>
      <c r="G116" s="28" t="s">
        <v>1520</v>
      </c>
      <c r="H116" s="136">
        <v>12.8</v>
      </c>
      <c r="I116" s="27" t="s">
        <v>160</v>
      </c>
      <c r="J116" s="28">
        <v>2900</v>
      </c>
      <c r="K116" s="38" t="s">
        <v>566</v>
      </c>
      <c r="L116" s="39">
        <v>28</v>
      </c>
      <c r="M116" s="42">
        <f>0.36*0.28*0.365</f>
        <v>3.6791999999999998E-2</v>
      </c>
      <c r="N116" s="78">
        <v>655.20720000000006</v>
      </c>
      <c r="O116" s="78">
        <v>655.20720000000006</v>
      </c>
      <c r="P116" s="117"/>
      <c r="Q116" s="117"/>
    </row>
    <row r="117" spans="2:17" ht="15.75" thickBot="1">
      <c r="B117" s="140"/>
      <c r="C117" s="13" t="s">
        <v>2939</v>
      </c>
      <c r="D117" s="14">
        <v>1.28</v>
      </c>
      <c r="E117" s="15">
        <v>1.72</v>
      </c>
      <c r="F117" s="14">
        <v>25</v>
      </c>
      <c r="G117" s="28" t="s">
        <v>1520</v>
      </c>
      <c r="H117" s="136">
        <v>18</v>
      </c>
      <c r="I117" s="27" t="s">
        <v>160</v>
      </c>
      <c r="J117" s="28">
        <v>2900</v>
      </c>
      <c r="K117" s="38" t="s">
        <v>566</v>
      </c>
      <c r="L117" s="39">
        <v>29</v>
      </c>
      <c r="M117" s="42">
        <f>0.36*0.28*0.365</f>
        <v>3.6791999999999998E-2</v>
      </c>
      <c r="N117" s="78">
        <v>688.29192000000012</v>
      </c>
      <c r="O117" s="78">
        <v>688.29192000000012</v>
      </c>
      <c r="P117" s="117"/>
      <c r="Q117" s="117"/>
    </row>
    <row r="118" spans="2:17" ht="15.75" thickBot="1">
      <c r="B118" s="140"/>
      <c r="C118" s="13" t="s">
        <v>2940</v>
      </c>
      <c r="D118" s="14">
        <v>0.49</v>
      </c>
      <c r="E118" s="15">
        <v>0.66</v>
      </c>
      <c r="F118" s="14">
        <v>26</v>
      </c>
      <c r="G118" s="28" t="s">
        <v>1520</v>
      </c>
      <c r="H118" s="136">
        <v>6.5</v>
      </c>
      <c r="I118" s="27" t="s">
        <v>337</v>
      </c>
      <c r="J118" s="28">
        <v>2900</v>
      </c>
      <c r="K118" s="38" t="s">
        <v>566</v>
      </c>
      <c r="L118" s="39">
        <v>30</v>
      </c>
      <c r="M118" s="42">
        <f>0.36*0.28*0.39</f>
        <v>3.9312E-2</v>
      </c>
      <c r="N118" s="78">
        <v>660.39696000000004</v>
      </c>
      <c r="O118" s="78">
        <v>660.39696000000004</v>
      </c>
      <c r="P118" s="117"/>
      <c r="Q118" s="117"/>
    </row>
    <row r="119" spans="2:17" ht="15.75" thickBot="1">
      <c r="B119" s="140"/>
      <c r="C119" s="13" t="s">
        <v>2941</v>
      </c>
      <c r="D119" s="14">
        <v>1.01</v>
      </c>
      <c r="E119" s="15">
        <v>1.36</v>
      </c>
      <c r="F119" s="14">
        <v>36</v>
      </c>
      <c r="G119" s="28" t="s">
        <v>1520</v>
      </c>
      <c r="H119" s="136">
        <v>10.5</v>
      </c>
      <c r="I119" s="27" t="s">
        <v>337</v>
      </c>
      <c r="J119" s="28">
        <v>2900</v>
      </c>
      <c r="K119" s="38" t="s">
        <v>566</v>
      </c>
      <c r="L119" s="39">
        <v>31</v>
      </c>
      <c r="M119" s="42">
        <f>0.36*0.28*0.39</f>
        <v>3.9312E-2</v>
      </c>
      <c r="N119" s="78">
        <v>705.1586400000001</v>
      </c>
      <c r="O119" s="78">
        <v>705.1586400000001</v>
      </c>
      <c r="P119" s="117"/>
      <c r="Q119" s="117"/>
    </row>
    <row r="120" spans="2:17" ht="15.75" thickBot="1">
      <c r="B120" s="140"/>
      <c r="C120" s="13" t="s">
        <v>2942</v>
      </c>
      <c r="D120" s="14">
        <v>1.42</v>
      </c>
      <c r="E120" s="15">
        <v>1.91</v>
      </c>
      <c r="F120" s="14">
        <v>45</v>
      </c>
      <c r="G120" s="28" t="s">
        <v>1520</v>
      </c>
      <c r="H120" s="136">
        <v>13.5</v>
      </c>
      <c r="I120" s="27" t="s">
        <v>337</v>
      </c>
      <c r="J120" s="28">
        <v>2900</v>
      </c>
      <c r="K120" s="38" t="s">
        <v>566</v>
      </c>
      <c r="L120" s="39">
        <v>30</v>
      </c>
      <c r="M120" s="42">
        <f>0.36*0.28*0.39</f>
        <v>3.9312E-2</v>
      </c>
      <c r="N120" s="78">
        <v>732.72924000000012</v>
      </c>
      <c r="O120" s="78">
        <v>732.72924000000012</v>
      </c>
      <c r="P120" s="117"/>
      <c r="Q120" s="117"/>
    </row>
    <row r="121" spans="2:17" ht="15.75" thickBot="1">
      <c r="B121" s="140"/>
      <c r="C121" s="13" t="s">
        <v>2943</v>
      </c>
      <c r="D121" s="14">
        <v>1.7250000000000001</v>
      </c>
      <c r="E121" s="15">
        <v>2.3199999999999998</v>
      </c>
      <c r="F121" s="14">
        <v>50</v>
      </c>
      <c r="G121" s="28" t="s">
        <v>1520</v>
      </c>
      <c r="H121" s="136">
        <v>18</v>
      </c>
      <c r="I121" s="27" t="s">
        <v>337</v>
      </c>
      <c r="J121" s="28">
        <v>2900</v>
      </c>
      <c r="K121" s="38" t="s">
        <v>566</v>
      </c>
      <c r="L121" s="39">
        <v>31</v>
      </c>
      <c r="M121" s="42">
        <f>0.36*0.28*0.39</f>
        <v>3.9312E-2</v>
      </c>
      <c r="N121" s="78"/>
      <c r="O121" s="78">
        <v>771.65244000000007</v>
      </c>
      <c r="P121" s="117"/>
      <c r="Q121" s="117"/>
    </row>
    <row r="122" spans="2:17" ht="15.75" thickBot="1">
      <c r="B122" s="140"/>
      <c r="C122" s="13" t="s">
        <v>2944</v>
      </c>
      <c r="D122" s="14">
        <v>0.78</v>
      </c>
      <c r="E122" s="15">
        <v>1.05</v>
      </c>
      <c r="F122" s="14">
        <v>50</v>
      </c>
      <c r="G122" s="28" t="s">
        <v>1520</v>
      </c>
      <c r="H122" s="136">
        <v>5</v>
      </c>
      <c r="I122" s="27" t="s">
        <v>370</v>
      </c>
      <c r="J122" s="28">
        <v>1450</v>
      </c>
      <c r="K122" s="38" t="s">
        <v>566</v>
      </c>
      <c r="L122" s="39">
        <v>38.5</v>
      </c>
      <c r="M122" s="42">
        <f>0.37*0.28*0.39</f>
        <v>4.0404000000000002E-2</v>
      </c>
      <c r="N122" s="78">
        <v>829.71288000000004</v>
      </c>
      <c r="O122" s="78">
        <v>829.71288000000004</v>
      </c>
      <c r="P122" s="117"/>
      <c r="Q122" s="117"/>
    </row>
    <row r="123" spans="2:17" ht="15.75" thickBot="1">
      <c r="B123" s="140"/>
      <c r="C123" s="13" t="s">
        <v>2945</v>
      </c>
      <c r="D123" s="14">
        <v>1.49</v>
      </c>
      <c r="E123" s="15">
        <v>2</v>
      </c>
      <c r="F123" s="14">
        <v>53</v>
      </c>
      <c r="G123" s="28" t="s">
        <v>1520</v>
      </c>
      <c r="H123" s="136">
        <v>9.6999999999999993</v>
      </c>
      <c r="I123" s="27" t="s">
        <v>370</v>
      </c>
      <c r="J123" s="28">
        <v>2900</v>
      </c>
      <c r="K123" s="38" t="s">
        <v>566</v>
      </c>
      <c r="L123" s="39">
        <v>38.700000000000003</v>
      </c>
      <c r="M123" s="42">
        <f>0.37*0.28*0.39</f>
        <v>4.0404000000000002E-2</v>
      </c>
      <c r="N123" s="78"/>
      <c r="O123" s="78">
        <v>852.09371999999996</v>
      </c>
      <c r="P123" s="117"/>
      <c r="Q123" s="117"/>
    </row>
    <row r="124" spans="2:17" ht="15.75" thickBot="1">
      <c r="B124" s="140"/>
      <c r="C124" s="13" t="s">
        <v>2946</v>
      </c>
      <c r="D124" s="14">
        <v>1.61</v>
      </c>
      <c r="E124" s="15">
        <v>2.2000000000000002</v>
      </c>
      <c r="F124" s="14">
        <v>53</v>
      </c>
      <c r="G124" s="28" t="s">
        <v>1520</v>
      </c>
      <c r="H124" s="136">
        <v>12</v>
      </c>
      <c r="I124" s="27" t="s">
        <v>370</v>
      </c>
      <c r="J124" s="28">
        <v>2900</v>
      </c>
      <c r="K124" s="38" t="s">
        <v>566</v>
      </c>
      <c r="L124" s="39">
        <v>38.700000000000003</v>
      </c>
      <c r="M124" s="42">
        <f>0.37*0.28*0.39</f>
        <v>4.0404000000000002E-2</v>
      </c>
      <c r="N124" s="78"/>
      <c r="O124" s="78">
        <v>963.02483999999993</v>
      </c>
      <c r="P124" s="117"/>
      <c r="Q124" s="117"/>
    </row>
    <row r="125" spans="2:17" ht="23.25" thickBot="1">
      <c r="B125" s="7"/>
      <c r="C125" s="63"/>
      <c r="D125" s="63"/>
      <c r="E125" s="63"/>
      <c r="F125" s="63"/>
      <c r="G125" s="63"/>
      <c r="H125" s="63"/>
      <c r="I125" s="63"/>
      <c r="J125" s="1"/>
      <c r="K125" s="63"/>
      <c r="L125" s="1"/>
      <c r="M125" s="1"/>
      <c r="N125" s="63"/>
      <c r="O125" s="63"/>
    </row>
    <row r="126" spans="2:17" ht="15">
      <c r="C126" s="44" t="s">
        <v>190</v>
      </c>
      <c r="D126" s="45" t="s">
        <v>527</v>
      </c>
      <c r="E126" s="46"/>
      <c r="F126" s="51"/>
      <c r="G126" s="51"/>
      <c r="H126" s="51"/>
      <c r="I126" s="51"/>
      <c r="J126" s="51"/>
      <c r="K126" s="51"/>
      <c r="L126" s="51"/>
      <c r="M126" s="51"/>
      <c r="N126" s="51"/>
      <c r="O126" s="51"/>
    </row>
    <row r="127" spans="2:17" ht="15">
      <c r="B127" s="54"/>
      <c r="C127" s="47" t="s">
        <v>192</v>
      </c>
      <c r="D127" s="48" t="s">
        <v>830</v>
      </c>
      <c r="E127" s="49"/>
      <c r="F127" s="52"/>
      <c r="G127" s="52"/>
      <c r="H127" s="52"/>
      <c r="I127" s="52"/>
      <c r="J127" s="52"/>
      <c r="K127" s="52"/>
      <c r="L127" s="52"/>
      <c r="M127" s="52"/>
      <c r="N127" s="52"/>
      <c r="O127" s="52"/>
    </row>
    <row r="128" spans="2:17" ht="15">
      <c r="C128" s="47" t="s">
        <v>194</v>
      </c>
      <c r="D128" s="48" t="s">
        <v>877</v>
      </c>
      <c r="E128" s="49"/>
      <c r="F128" s="52"/>
      <c r="G128" s="52"/>
      <c r="H128" s="52"/>
      <c r="I128" s="52"/>
      <c r="J128" s="52"/>
      <c r="K128" s="52"/>
      <c r="L128" s="52"/>
      <c r="M128" s="52"/>
      <c r="N128" s="52"/>
      <c r="O128" s="52"/>
    </row>
    <row r="129" spans="2:15" ht="15">
      <c r="B129" s="117"/>
      <c r="C129" s="47" t="s">
        <v>878</v>
      </c>
      <c r="D129" s="48" t="s">
        <v>1521</v>
      </c>
      <c r="E129" s="49"/>
      <c r="F129" s="52"/>
      <c r="G129" s="52"/>
      <c r="H129" s="52"/>
      <c r="I129" s="52"/>
      <c r="J129" s="52"/>
      <c r="K129" s="52"/>
      <c r="L129" s="52"/>
      <c r="M129" s="52"/>
      <c r="N129" s="52"/>
      <c r="O129" s="52"/>
    </row>
    <row r="130" spans="2:15" ht="15">
      <c r="B130" s="54"/>
      <c r="C130" s="60" t="s">
        <v>880</v>
      </c>
      <c r="D130" s="56" t="s">
        <v>881</v>
      </c>
      <c r="E130" s="57"/>
      <c r="F130" s="58"/>
      <c r="G130" s="58"/>
      <c r="H130" s="58"/>
      <c r="I130" s="58"/>
      <c r="J130" s="58"/>
      <c r="K130" s="58"/>
      <c r="L130" s="58"/>
      <c r="M130" s="58"/>
      <c r="N130" s="58"/>
      <c r="O130" s="58"/>
    </row>
  </sheetData>
  <mergeCells count="20">
    <mergeCell ref="C50:C51"/>
    <mergeCell ref="D50:E51"/>
    <mergeCell ref="F50:H50"/>
    <mergeCell ref="N50:O50"/>
    <mergeCell ref="N51:O51"/>
    <mergeCell ref="C4:C5"/>
    <mergeCell ref="D4:E5"/>
    <mergeCell ref="F4:H4"/>
    <mergeCell ref="N4:O4"/>
    <mergeCell ref="N5:O5"/>
    <mergeCell ref="C105:C106"/>
    <mergeCell ref="D105:E106"/>
    <mergeCell ref="F105:H105"/>
    <mergeCell ref="N105:O105"/>
    <mergeCell ref="N106:O106"/>
    <mergeCell ref="C73:C74"/>
    <mergeCell ref="D73:E74"/>
    <mergeCell ref="F73:H73"/>
    <mergeCell ref="N73:O73"/>
    <mergeCell ref="N74:O7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</sheetPr>
  <dimension ref="A1:N107"/>
  <sheetViews>
    <sheetView tabSelected="1" workbookViewId="0">
      <selection activeCell="B15" sqref="B15"/>
    </sheetView>
  </sheetViews>
  <sheetFormatPr defaultRowHeight="14.25"/>
  <cols>
    <col min="1" max="1" width="33.75" customWidth="1"/>
    <col min="2" max="2" width="32.75" customWidth="1"/>
    <col min="10" max="10" width="10.375" customWidth="1"/>
    <col min="13" max="13" width="17.875" customWidth="1"/>
    <col min="14" max="14" width="19.125" customWidth="1"/>
  </cols>
  <sheetData>
    <row r="1" spans="1:14" ht="36.75">
      <c r="A1" s="121"/>
      <c r="B1" s="122"/>
      <c r="C1" s="123"/>
      <c r="D1" s="124"/>
      <c r="E1" s="125"/>
      <c r="F1" s="126"/>
      <c r="G1" s="126"/>
      <c r="H1" s="126"/>
      <c r="I1" s="126"/>
      <c r="J1" s="126"/>
      <c r="K1" s="126"/>
      <c r="L1" s="126"/>
      <c r="M1" s="126"/>
      <c r="N1" s="127"/>
    </row>
    <row r="2" spans="1:14" ht="20.25">
      <c r="A2" s="121"/>
      <c r="B2" s="122"/>
      <c r="C2" s="123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9"/>
    </row>
    <row r="3" spans="1:14" ht="20.25">
      <c r="A3" s="121"/>
      <c r="B3" s="122"/>
      <c r="C3" s="123"/>
      <c r="D3" s="128"/>
      <c r="E3" s="128"/>
      <c r="F3" s="130"/>
      <c r="G3" s="130"/>
      <c r="H3" s="130"/>
      <c r="I3" s="130"/>
      <c r="J3" s="130"/>
      <c r="K3" s="130"/>
      <c r="L3" s="130"/>
      <c r="M3" s="130"/>
      <c r="N3" s="131"/>
    </row>
    <row r="4" spans="1:14" ht="8.25" customHeight="1">
      <c r="A4" s="121"/>
      <c r="B4" s="122"/>
      <c r="C4" s="123"/>
      <c r="D4" s="128"/>
      <c r="E4" s="128"/>
      <c r="F4" s="130"/>
      <c r="G4" s="130"/>
      <c r="H4" s="130"/>
      <c r="I4" s="130"/>
      <c r="J4" s="130"/>
      <c r="K4" s="130"/>
      <c r="L4" s="130"/>
      <c r="M4" s="130"/>
      <c r="N4" s="131"/>
    </row>
    <row r="5" spans="1:14" ht="18" hidden="1">
      <c r="A5" s="117"/>
      <c r="B5" s="132"/>
      <c r="C5" s="132"/>
      <c r="D5" s="132"/>
      <c r="E5" s="132"/>
      <c r="F5" s="132"/>
      <c r="G5" s="132"/>
      <c r="H5" s="132"/>
      <c r="I5" s="132"/>
      <c r="J5" s="132"/>
      <c r="K5" s="144"/>
      <c r="L5" s="144"/>
      <c r="M5" s="132"/>
      <c r="N5" s="132"/>
    </row>
    <row r="6" spans="1:14" ht="74.25" customHeight="1">
      <c r="A6" s="4"/>
      <c r="B6" s="283" t="s">
        <v>3261</v>
      </c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4"/>
    </row>
    <row r="7" spans="1:14" ht="23.25" thickBot="1">
      <c r="A7" s="7"/>
      <c r="B7" s="63"/>
      <c r="C7" s="63"/>
      <c r="D7" s="63"/>
      <c r="E7" s="63"/>
      <c r="F7" s="63"/>
      <c r="G7" s="63"/>
      <c r="H7" s="63"/>
      <c r="I7" s="1"/>
      <c r="J7" s="63"/>
      <c r="K7" s="1"/>
      <c r="L7" s="1"/>
      <c r="M7" s="63"/>
      <c r="N7" s="63"/>
    </row>
    <row r="8" spans="1:14" ht="15" customHeight="1">
      <c r="A8" s="3"/>
      <c r="B8" s="253" t="s">
        <v>2680</v>
      </c>
      <c r="C8" s="255" t="s">
        <v>2667</v>
      </c>
      <c r="D8" s="253"/>
      <c r="E8" s="257" t="s">
        <v>2730</v>
      </c>
      <c r="F8" s="258"/>
      <c r="G8" s="258"/>
      <c r="H8" s="18" t="s">
        <v>2738</v>
      </c>
      <c r="I8" s="19" t="s">
        <v>4</v>
      </c>
      <c r="J8" s="30" t="s">
        <v>2729</v>
      </c>
      <c r="K8" s="31" t="s">
        <v>2675</v>
      </c>
      <c r="L8" s="31" t="s">
        <v>2677</v>
      </c>
      <c r="M8" s="259" t="s">
        <v>2731</v>
      </c>
      <c r="N8" s="255"/>
    </row>
    <row r="9" spans="1:14" ht="15">
      <c r="A9" s="9"/>
      <c r="B9" s="254"/>
      <c r="C9" s="256"/>
      <c r="D9" s="254"/>
      <c r="E9" s="20" t="s">
        <v>2736</v>
      </c>
      <c r="F9" s="33" t="s">
        <v>2735</v>
      </c>
      <c r="G9" s="10" t="s">
        <v>2737</v>
      </c>
      <c r="H9" s="21"/>
      <c r="I9" s="22"/>
      <c r="J9" s="32"/>
      <c r="K9" s="33"/>
      <c r="L9" s="33"/>
      <c r="M9" s="260" t="s">
        <v>2732</v>
      </c>
      <c r="N9" s="261"/>
    </row>
    <row r="10" spans="1:14" ht="15.75" thickBot="1">
      <c r="A10" s="3"/>
      <c r="B10" s="11"/>
      <c r="C10" s="12" t="s">
        <v>2668</v>
      </c>
      <c r="D10" s="11" t="s">
        <v>2725</v>
      </c>
      <c r="E10" s="23" t="s">
        <v>2726</v>
      </c>
      <c r="F10" s="133" t="s">
        <v>2727</v>
      </c>
      <c r="G10" s="134" t="s">
        <v>2727</v>
      </c>
      <c r="H10" s="25" t="s">
        <v>2728</v>
      </c>
      <c r="I10" s="26" t="s">
        <v>2673</v>
      </c>
      <c r="J10" s="34"/>
      <c r="K10" s="35" t="s">
        <v>2676</v>
      </c>
      <c r="L10" s="196" t="s">
        <v>2678</v>
      </c>
      <c r="M10" s="158" t="s">
        <v>3119</v>
      </c>
      <c r="N10" s="159" t="s">
        <v>3120</v>
      </c>
    </row>
    <row r="11" spans="1:14" ht="15.75" thickBot="1">
      <c r="A11" s="2"/>
      <c r="B11" s="13" t="s">
        <v>3121</v>
      </c>
      <c r="C11" s="14">
        <v>18.5</v>
      </c>
      <c r="D11" s="15">
        <v>25</v>
      </c>
      <c r="E11" s="14">
        <v>80</v>
      </c>
      <c r="F11" s="28">
        <v>45</v>
      </c>
      <c r="G11" s="136">
        <v>50</v>
      </c>
      <c r="H11" s="27">
        <v>80</v>
      </c>
      <c r="I11" s="28">
        <v>2900</v>
      </c>
      <c r="J11" s="38" t="s">
        <v>707</v>
      </c>
      <c r="K11" s="39">
        <v>276</v>
      </c>
      <c r="L11" s="40">
        <v>0.41399999999999998</v>
      </c>
      <c r="M11" s="249">
        <v>12650.04</v>
      </c>
      <c r="N11" s="249">
        <v>13172.259600000001</v>
      </c>
    </row>
    <row r="12" spans="1:14" ht="15.75" thickBot="1">
      <c r="A12" s="2"/>
      <c r="B12" s="13" t="s">
        <v>3122</v>
      </c>
      <c r="C12" s="14">
        <v>22</v>
      </c>
      <c r="D12" s="15">
        <v>30</v>
      </c>
      <c r="E12" s="14">
        <v>50</v>
      </c>
      <c r="F12" s="28">
        <v>65</v>
      </c>
      <c r="G12" s="136">
        <v>68</v>
      </c>
      <c r="H12" s="27">
        <v>80</v>
      </c>
      <c r="I12" s="28">
        <v>2900</v>
      </c>
      <c r="J12" s="38" t="s">
        <v>707</v>
      </c>
      <c r="K12" s="39">
        <v>286</v>
      </c>
      <c r="L12" s="40">
        <v>0.42899999999999999</v>
      </c>
      <c r="M12" s="249">
        <v>13023.054</v>
      </c>
      <c r="N12" s="249">
        <v>13555.004400000002</v>
      </c>
    </row>
    <row r="13" spans="1:14" ht="15.75" thickBot="1">
      <c r="A13" s="2"/>
      <c r="B13" s="13" t="s">
        <v>3123</v>
      </c>
      <c r="C13" s="14">
        <v>22</v>
      </c>
      <c r="D13" s="15">
        <v>30</v>
      </c>
      <c r="E13" s="14">
        <v>80</v>
      </c>
      <c r="F13" s="28">
        <v>53</v>
      </c>
      <c r="G13" s="136">
        <v>59</v>
      </c>
      <c r="H13" s="27">
        <v>80</v>
      </c>
      <c r="I13" s="28">
        <v>2900</v>
      </c>
      <c r="J13" s="38" t="s">
        <v>707</v>
      </c>
      <c r="K13" s="39">
        <v>286</v>
      </c>
      <c r="L13" s="40">
        <v>0.42899999999999999</v>
      </c>
      <c r="M13" s="249">
        <v>13023.054</v>
      </c>
      <c r="N13" s="249">
        <v>13555.004400000002</v>
      </c>
    </row>
    <row r="14" spans="1:14" ht="15.75" thickBot="1">
      <c r="A14" s="2"/>
      <c r="B14" s="13" t="s">
        <v>3124</v>
      </c>
      <c r="C14" s="14">
        <v>11</v>
      </c>
      <c r="D14" s="15">
        <v>15</v>
      </c>
      <c r="E14" s="14">
        <v>80</v>
      </c>
      <c r="F14" s="28">
        <v>25</v>
      </c>
      <c r="G14" s="136">
        <v>28</v>
      </c>
      <c r="H14" s="27">
        <v>100</v>
      </c>
      <c r="I14" s="28">
        <v>1450</v>
      </c>
      <c r="J14" s="38" t="s">
        <v>707</v>
      </c>
      <c r="K14" s="39">
        <v>295</v>
      </c>
      <c r="L14" s="40">
        <v>0.443</v>
      </c>
      <c r="M14" s="249">
        <v>13055.49</v>
      </c>
      <c r="N14" s="249">
        <v>13678.261200000001</v>
      </c>
    </row>
    <row r="15" spans="1:14" ht="15.75" thickBot="1">
      <c r="A15" s="2"/>
      <c r="B15" s="13" t="s">
        <v>3125</v>
      </c>
      <c r="C15" s="14">
        <v>22</v>
      </c>
      <c r="D15" s="15">
        <v>30</v>
      </c>
      <c r="E15" s="14">
        <v>100</v>
      </c>
      <c r="F15" s="28">
        <v>34</v>
      </c>
      <c r="G15" s="136">
        <v>38</v>
      </c>
      <c r="H15" s="27">
        <v>100</v>
      </c>
      <c r="I15" s="28">
        <v>1450</v>
      </c>
      <c r="J15" s="38" t="s">
        <v>707</v>
      </c>
      <c r="K15" s="39">
        <v>424</v>
      </c>
      <c r="L15" s="40">
        <v>0.63600000000000001</v>
      </c>
      <c r="M15" s="249">
        <v>17343.529200000001</v>
      </c>
      <c r="N15" s="249">
        <v>18063.608400000001</v>
      </c>
    </row>
    <row r="16" spans="1:14" ht="15.75" thickBot="1">
      <c r="A16" s="2"/>
      <c r="B16" s="13" t="s">
        <v>3126</v>
      </c>
      <c r="C16" s="14">
        <v>30</v>
      </c>
      <c r="D16" s="15">
        <v>40</v>
      </c>
      <c r="E16" s="14">
        <v>80</v>
      </c>
      <c r="F16" s="28">
        <v>65</v>
      </c>
      <c r="G16" s="136">
        <v>72</v>
      </c>
      <c r="H16" s="27">
        <v>100</v>
      </c>
      <c r="I16" s="28">
        <v>2900</v>
      </c>
      <c r="J16" s="38" t="s">
        <v>707</v>
      </c>
      <c r="K16" s="39">
        <v>325</v>
      </c>
      <c r="L16" s="40">
        <v>0.48799999999999999</v>
      </c>
      <c r="M16" s="249">
        <v>19432.407600000002</v>
      </c>
      <c r="N16" s="249">
        <v>20201.140800000001</v>
      </c>
    </row>
    <row r="17" spans="1:14" ht="15.75" thickBot="1">
      <c r="A17" s="2"/>
      <c r="B17" s="13" t="s">
        <v>3127</v>
      </c>
      <c r="C17" s="14">
        <v>37</v>
      </c>
      <c r="D17" s="15">
        <v>50</v>
      </c>
      <c r="E17" s="14">
        <v>180</v>
      </c>
      <c r="F17" s="28">
        <v>42</v>
      </c>
      <c r="G17" s="136">
        <v>61</v>
      </c>
      <c r="H17" s="27">
        <v>100</v>
      </c>
      <c r="I17" s="28">
        <v>2900</v>
      </c>
      <c r="J17" s="38" t="s">
        <v>707</v>
      </c>
      <c r="K17" s="39">
        <v>347</v>
      </c>
      <c r="L17" s="40">
        <v>0.52100000000000002</v>
      </c>
      <c r="M17" s="285" t="s">
        <v>1260</v>
      </c>
      <c r="N17" s="286"/>
    </row>
    <row r="18" spans="1:14" ht="15.75" thickBot="1">
      <c r="A18" s="2"/>
      <c r="B18" s="13" t="s">
        <v>3128</v>
      </c>
      <c r="C18" s="14">
        <v>11</v>
      </c>
      <c r="D18" s="15">
        <v>15</v>
      </c>
      <c r="E18" s="14">
        <v>150</v>
      </c>
      <c r="F18" s="28">
        <v>15</v>
      </c>
      <c r="G18" s="136">
        <v>17.5</v>
      </c>
      <c r="H18" s="27">
        <v>150</v>
      </c>
      <c r="I18" s="28">
        <v>1450</v>
      </c>
      <c r="J18" s="38" t="s">
        <v>707</v>
      </c>
      <c r="K18" s="39">
        <v>308</v>
      </c>
      <c r="L18" s="40">
        <v>0.46200000000000002</v>
      </c>
      <c r="M18" s="249">
        <v>14476.186799999999</v>
      </c>
      <c r="N18" s="249">
        <v>14505.379200000001</v>
      </c>
    </row>
    <row r="19" spans="1:14" ht="15.75" thickBot="1">
      <c r="A19" s="2"/>
      <c r="B19" s="13" t="s">
        <v>3129</v>
      </c>
      <c r="C19" s="14">
        <v>15</v>
      </c>
      <c r="D19" s="15">
        <v>20</v>
      </c>
      <c r="E19" s="14">
        <v>150</v>
      </c>
      <c r="F19" s="28">
        <v>21</v>
      </c>
      <c r="G19" s="136">
        <v>23</v>
      </c>
      <c r="H19" s="27">
        <v>150</v>
      </c>
      <c r="I19" s="28">
        <v>1450</v>
      </c>
      <c r="J19" s="38" t="s">
        <v>707</v>
      </c>
      <c r="K19" s="39">
        <v>336</v>
      </c>
      <c r="L19" s="40">
        <v>0.504</v>
      </c>
      <c r="M19" s="249">
        <v>14761.623600000001</v>
      </c>
      <c r="N19" s="249">
        <v>15494.6772</v>
      </c>
    </row>
    <row r="20" spans="1:14" ht="15.75" thickBot="1">
      <c r="A20" s="2"/>
      <c r="B20" s="13" t="s">
        <v>3130</v>
      </c>
      <c r="C20" s="14">
        <v>22</v>
      </c>
      <c r="D20" s="15">
        <v>30</v>
      </c>
      <c r="E20" s="14">
        <v>130</v>
      </c>
      <c r="F20" s="28">
        <v>30</v>
      </c>
      <c r="G20" s="136">
        <v>34</v>
      </c>
      <c r="H20" s="27">
        <v>150</v>
      </c>
      <c r="I20" s="28">
        <v>1450</v>
      </c>
      <c r="J20" s="38" t="s">
        <v>707</v>
      </c>
      <c r="K20" s="39">
        <v>437</v>
      </c>
      <c r="L20" s="40">
        <v>0.65600000000000003</v>
      </c>
      <c r="M20" s="249">
        <v>18825.8544</v>
      </c>
      <c r="N20" s="249">
        <v>19656.216</v>
      </c>
    </row>
    <row r="21" spans="1:14" ht="15.75" thickBot="1">
      <c r="A21" s="2"/>
      <c r="B21" s="13" t="s">
        <v>3131</v>
      </c>
      <c r="C21" s="14">
        <v>30</v>
      </c>
      <c r="D21" s="15">
        <v>40</v>
      </c>
      <c r="E21" s="14">
        <v>250</v>
      </c>
      <c r="F21" s="28">
        <v>22</v>
      </c>
      <c r="G21" s="136">
        <v>28.5</v>
      </c>
      <c r="H21" s="27">
        <v>150</v>
      </c>
      <c r="I21" s="28">
        <v>1450</v>
      </c>
      <c r="J21" s="38" t="s">
        <v>707</v>
      </c>
      <c r="K21" s="39">
        <v>706</v>
      </c>
      <c r="L21" s="40">
        <v>1.0589999999999999</v>
      </c>
      <c r="M21" s="249">
        <v>28271.2176</v>
      </c>
      <c r="N21" s="249">
        <v>29328.631200000003</v>
      </c>
    </row>
    <row r="22" spans="1:14" ht="15.75" thickBot="1">
      <c r="A22" s="2"/>
      <c r="B22" s="13" t="s">
        <v>3132</v>
      </c>
      <c r="C22" s="14">
        <v>45</v>
      </c>
      <c r="D22" s="15">
        <v>60</v>
      </c>
      <c r="E22" s="14">
        <v>240</v>
      </c>
      <c r="F22" s="28">
        <v>42</v>
      </c>
      <c r="G22" s="136">
        <v>48</v>
      </c>
      <c r="H22" s="27">
        <v>150</v>
      </c>
      <c r="I22" s="28">
        <v>1450</v>
      </c>
      <c r="J22" s="38" t="s">
        <v>707</v>
      </c>
      <c r="K22" s="39">
        <v>806</v>
      </c>
      <c r="L22" s="40">
        <v>1.2090000000000001</v>
      </c>
      <c r="M22" s="277" t="s">
        <v>1260</v>
      </c>
      <c r="N22" s="278"/>
    </row>
    <row r="23" spans="1:14" ht="15.75" thickBot="1">
      <c r="A23" s="248" t="s">
        <v>3119</v>
      </c>
      <c r="B23" s="13" t="s">
        <v>3133</v>
      </c>
      <c r="C23" s="14">
        <v>55</v>
      </c>
      <c r="D23" s="15">
        <v>75</v>
      </c>
      <c r="E23" s="14">
        <v>250</v>
      </c>
      <c r="F23" s="28">
        <v>50</v>
      </c>
      <c r="G23" s="136">
        <v>56</v>
      </c>
      <c r="H23" s="27">
        <v>150</v>
      </c>
      <c r="I23" s="28">
        <v>1450</v>
      </c>
      <c r="J23" s="38" t="s">
        <v>707</v>
      </c>
      <c r="K23" s="39">
        <v>846</v>
      </c>
      <c r="L23" s="40">
        <v>1.2689999999999999</v>
      </c>
      <c r="M23" s="279"/>
      <c r="N23" s="280"/>
    </row>
    <row r="24" spans="1:14" ht="15.75" thickBot="1">
      <c r="A24" s="2"/>
      <c r="B24" s="13" t="s">
        <v>3134</v>
      </c>
      <c r="C24" s="14">
        <v>75</v>
      </c>
      <c r="D24" s="15">
        <v>100</v>
      </c>
      <c r="E24" s="14">
        <v>280</v>
      </c>
      <c r="F24" s="28">
        <v>56</v>
      </c>
      <c r="G24" s="136">
        <v>61</v>
      </c>
      <c r="H24" s="27">
        <v>150</v>
      </c>
      <c r="I24" s="28">
        <v>1450</v>
      </c>
      <c r="J24" s="38" t="s">
        <v>707</v>
      </c>
      <c r="K24" s="39">
        <v>1130</v>
      </c>
      <c r="L24" s="40">
        <v>1.6950000000000001</v>
      </c>
      <c r="M24" s="279"/>
      <c r="N24" s="280"/>
    </row>
    <row r="25" spans="1:14" ht="15.75" thickBot="1">
      <c r="A25" s="16"/>
      <c r="B25" s="13" t="s">
        <v>3135</v>
      </c>
      <c r="C25" s="14">
        <v>90</v>
      </c>
      <c r="D25" s="15">
        <v>125</v>
      </c>
      <c r="E25" s="14">
        <v>300</v>
      </c>
      <c r="F25" s="28">
        <v>60</v>
      </c>
      <c r="G25" s="136">
        <v>65</v>
      </c>
      <c r="H25" s="27">
        <v>150</v>
      </c>
      <c r="I25" s="28">
        <v>1450</v>
      </c>
      <c r="J25" s="38" t="s">
        <v>707</v>
      </c>
      <c r="K25" s="39">
        <v>1215</v>
      </c>
      <c r="L25" s="40">
        <v>1.823</v>
      </c>
      <c r="M25" s="281"/>
      <c r="N25" s="282"/>
    </row>
    <row r="26" spans="1:14" ht="15.75" thickBot="1">
      <c r="A26" s="2"/>
      <c r="B26" s="13" t="s">
        <v>3136</v>
      </c>
      <c r="C26" s="14">
        <v>22</v>
      </c>
      <c r="D26" s="15">
        <v>30</v>
      </c>
      <c r="E26" s="14">
        <v>400</v>
      </c>
      <c r="F26" s="28">
        <v>12</v>
      </c>
      <c r="G26" s="136">
        <v>18.3</v>
      </c>
      <c r="H26" s="27">
        <v>200</v>
      </c>
      <c r="I26" s="28">
        <v>1450</v>
      </c>
      <c r="J26" s="38" t="s">
        <v>707</v>
      </c>
      <c r="K26" s="39">
        <v>442</v>
      </c>
      <c r="L26" s="40">
        <v>0.66300000000000003</v>
      </c>
      <c r="M26" s="249">
        <v>19633.5108</v>
      </c>
      <c r="N26" s="249">
        <v>20483.334000000003</v>
      </c>
    </row>
    <row r="27" spans="1:14" ht="15.75" thickBot="1">
      <c r="A27" s="2"/>
      <c r="B27" s="13" t="s">
        <v>3137</v>
      </c>
      <c r="C27" s="14">
        <v>11</v>
      </c>
      <c r="D27" s="15">
        <v>15</v>
      </c>
      <c r="E27" s="14">
        <v>240</v>
      </c>
      <c r="F27" s="28">
        <v>12</v>
      </c>
      <c r="G27" s="136">
        <v>16.5</v>
      </c>
      <c r="H27" s="27">
        <v>200</v>
      </c>
      <c r="I27" s="28">
        <v>1450</v>
      </c>
      <c r="J27" s="38" t="s">
        <v>707</v>
      </c>
      <c r="K27" s="39">
        <v>328</v>
      </c>
      <c r="L27" s="40">
        <v>0.49199999999999999</v>
      </c>
      <c r="M27" s="249">
        <v>15919.588800000001</v>
      </c>
      <c r="N27" s="249">
        <v>16685.078400000002</v>
      </c>
    </row>
    <row r="28" spans="1:14" ht="15.75" thickBot="1">
      <c r="A28" s="2"/>
      <c r="B28" s="13" t="s">
        <v>3138</v>
      </c>
      <c r="C28" s="14">
        <v>15</v>
      </c>
      <c r="D28" s="15">
        <v>20</v>
      </c>
      <c r="E28" s="14">
        <v>300</v>
      </c>
      <c r="F28" s="28">
        <v>13</v>
      </c>
      <c r="G28" s="136">
        <v>18.8</v>
      </c>
      <c r="H28" s="27">
        <v>200</v>
      </c>
      <c r="I28" s="28">
        <v>1450</v>
      </c>
      <c r="J28" s="38" t="s">
        <v>707</v>
      </c>
      <c r="K28" s="39">
        <v>353</v>
      </c>
      <c r="L28" s="40">
        <v>0.53</v>
      </c>
      <c r="M28" s="249">
        <v>16467.7572</v>
      </c>
      <c r="N28" s="249">
        <v>17236.490400000002</v>
      </c>
    </row>
    <row r="29" spans="1:14" ht="15.75" thickBot="1">
      <c r="A29" s="2"/>
      <c r="B29" s="13" t="s">
        <v>3139</v>
      </c>
      <c r="C29" s="14">
        <v>22</v>
      </c>
      <c r="D29" s="15">
        <v>30</v>
      </c>
      <c r="E29" s="14">
        <v>340</v>
      </c>
      <c r="F29" s="28">
        <v>16</v>
      </c>
      <c r="G29" s="136">
        <v>21</v>
      </c>
      <c r="H29" s="27">
        <v>200</v>
      </c>
      <c r="I29" s="28">
        <v>1450</v>
      </c>
      <c r="J29" s="38" t="s">
        <v>707</v>
      </c>
      <c r="K29" s="39">
        <v>442</v>
      </c>
      <c r="L29" s="40">
        <v>0.66300000000000003</v>
      </c>
      <c r="M29" s="249">
        <v>19250.766</v>
      </c>
      <c r="N29" s="249">
        <v>20090.858400000001</v>
      </c>
    </row>
    <row r="30" spans="1:14" ht="15.75" thickBot="1">
      <c r="A30" s="2"/>
      <c r="B30" s="13" t="s">
        <v>3140</v>
      </c>
      <c r="C30" s="14">
        <v>30</v>
      </c>
      <c r="D30" s="15">
        <v>40</v>
      </c>
      <c r="E30" s="14">
        <v>340</v>
      </c>
      <c r="F30" s="28">
        <v>22</v>
      </c>
      <c r="G30" s="136">
        <v>31.4</v>
      </c>
      <c r="H30" s="27">
        <v>200</v>
      </c>
      <c r="I30" s="28">
        <v>1450</v>
      </c>
      <c r="J30" s="38" t="s">
        <v>707</v>
      </c>
      <c r="K30" s="39">
        <v>734</v>
      </c>
      <c r="L30" s="40">
        <v>1.101</v>
      </c>
      <c r="M30" s="249">
        <v>29399.990400000002</v>
      </c>
      <c r="N30" s="249">
        <v>30483.352800000004</v>
      </c>
    </row>
    <row r="31" spans="1:14" ht="15.75" thickBot="1">
      <c r="A31" s="2"/>
      <c r="B31" s="13" t="s">
        <v>3141</v>
      </c>
      <c r="C31" s="14">
        <v>37</v>
      </c>
      <c r="D31" s="15">
        <v>50</v>
      </c>
      <c r="E31" s="14">
        <v>400</v>
      </c>
      <c r="F31" s="28">
        <v>24</v>
      </c>
      <c r="G31" s="136">
        <v>34</v>
      </c>
      <c r="H31" s="27">
        <v>200</v>
      </c>
      <c r="I31" s="28">
        <v>1450</v>
      </c>
      <c r="J31" s="38" t="s">
        <v>707</v>
      </c>
      <c r="K31" s="39">
        <v>764</v>
      </c>
      <c r="L31" s="40">
        <v>1.1459999999999999</v>
      </c>
      <c r="M31" s="277" t="s">
        <v>1260</v>
      </c>
      <c r="N31" s="278"/>
    </row>
    <row r="32" spans="1:14" ht="15.75" thickBot="1">
      <c r="A32" s="248" t="s">
        <v>3120</v>
      </c>
      <c r="B32" s="13" t="s">
        <v>3142</v>
      </c>
      <c r="C32" s="14">
        <v>45</v>
      </c>
      <c r="D32" s="15">
        <v>60</v>
      </c>
      <c r="E32" s="14">
        <v>400</v>
      </c>
      <c r="F32" s="28">
        <v>28</v>
      </c>
      <c r="G32" s="136">
        <v>38</v>
      </c>
      <c r="H32" s="27">
        <v>200</v>
      </c>
      <c r="I32" s="28">
        <v>1450</v>
      </c>
      <c r="J32" s="38" t="s">
        <v>707</v>
      </c>
      <c r="K32" s="39">
        <v>827</v>
      </c>
      <c r="L32" s="40">
        <v>1.2410000000000001</v>
      </c>
      <c r="M32" s="279"/>
      <c r="N32" s="280"/>
    </row>
    <row r="33" spans="1:14" ht="15.75" thickBot="1">
      <c r="A33" s="2"/>
      <c r="B33" s="13" t="s">
        <v>3143</v>
      </c>
      <c r="C33" s="14">
        <v>55</v>
      </c>
      <c r="D33" s="15">
        <v>75</v>
      </c>
      <c r="E33" s="14">
        <v>400</v>
      </c>
      <c r="F33" s="28">
        <v>34</v>
      </c>
      <c r="G33" s="136">
        <v>43.5</v>
      </c>
      <c r="H33" s="27">
        <v>200</v>
      </c>
      <c r="I33" s="28">
        <v>1450</v>
      </c>
      <c r="J33" s="38" t="s">
        <v>707</v>
      </c>
      <c r="K33" s="39">
        <v>864</v>
      </c>
      <c r="L33" s="40">
        <v>1.296</v>
      </c>
      <c r="M33" s="279"/>
      <c r="N33" s="280"/>
    </row>
    <row r="34" spans="1:14" ht="15.75" thickBot="1">
      <c r="A34" s="2"/>
      <c r="B34" s="13" t="s">
        <v>3144</v>
      </c>
      <c r="C34" s="14">
        <v>75</v>
      </c>
      <c r="D34" s="15">
        <v>100</v>
      </c>
      <c r="E34" s="14">
        <v>550</v>
      </c>
      <c r="F34" s="28">
        <v>32</v>
      </c>
      <c r="G34" s="136">
        <v>47.8</v>
      </c>
      <c r="H34" s="27">
        <v>200</v>
      </c>
      <c r="I34" s="28">
        <v>1450</v>
      </c>
      <c r="J34" s="38" t="s">
        <v>707</v>
      </c>
      <c r="K34" s="39">
        <v>1198</v>
      </c>
      <c r="L34" s="40">
        <v>1.7969999999999999</v>
      </c>
      <c r="M34" s="279"/>
      <c r="N34" s="280"/>
    </row>
    <row r="35" spans="1:14" ht="15.75" thickBot="1">
      <c r="A35" s="2"/>
      <c r="B35" s="13" t="s">
        <v>3145</v>
      </c>
      <c r="C35" s="14">
        <v>90</v>
      </c>
      <c r="D35" s="15">
        <v>125</v>
      </c>
      <c r="E35" s="14">
        <v>600</v>
      </c>
      <c r="F35" s="28">
        <v>36</v>
      </c>
      <c r="G35" s="136">
        <v>51</v>
      </c>
      <c r="H35" s="27">
        <v>200</v>
      </c>
      <c r="I35" s="28">
        <v>1450</v>
      </c>
      <c r="J35" s="38" t="s">
        <v>707</v>
      </c>
      <c r="K35" s="39">
        <v>1282</v>
      </c>
      <c r="L35" s="40">
        <v>1.923</v>
      </c>
      <c r="M35" s="279"/>
      <c r="N35" s="280"/>
    </row>
    <row r="36" spans="1:14" ht="15.75" thickBot="1">
      <c r="A36" s="2"/>
      <c r="B36" s="13" t="s">
        <v>3146</v>
      </c>
      <c r="C36" s="14">
        <v>110</v>
      </c>
      <c r="D36" s="15">
        <v>150</v>
      </c>
      <c r="E36" s="14">
        <v>480</v>
      </c>
      <c r="F36" s="28">
        <v>50</v>
      </c>
      <c r="G36" s="136">
        <v>61</v>
      </c>
      <c r="H36" s="27">
        <v>200</v>
      </c>
      <c r="I36" s="28">
        <v>1450</v>
      </c>
      <c r="J36" s="38" t="s">
        <v>707</v>
      </c>
      <c r="K36" s="39">
        <v>1775</v>
      </c>
      <c r="L36" s="40">
        <v>2.6629999999999998</v>
      </c>
      <c r="M36" s="279"/>
      <c r="N36" s="280"/>
    </row>
    <row r="37" spans="1:14" ht="15.75" thickBot="1">
      <c r="A37" s="2"/>
      <c r="B37" s="13" t="s">
        <v>3147</v>
      </c>
      <c r="C37" s="14">
        <v>132</v>
      </c>
      <c r="D37" s="15">
        <v>180</v>
      </c>
      <c r="E37" s="14">
        <v>500</v>
      </c>
      <c r="F37" s="28">
        <v>55</v>
      </c>
      <c r="G37" s="136">
        <v>68</v>
      </c>
      <c r="H37" s="27">
        <v>200</v>
      </c>
      <c r="I37" s="28">
        <v>1450</v>
      </c>
      <c r="J37" s="38" t="s">
        <v>707</v>
      </c>
      <c r="K37" s="39">
        <v>1850</v>
      </c>
      <c r="L37" s="40">
        <v>2.7749999999999999</v>
      </c>
      <c r="M37" s="279"/>
      <c r="N37" s="280"/>
    </row>
    <row r="38" spans="1:14" ht="15.75" thickBot="1">
      <c r="A38" s="2"/>
      <c r="B38" s="13" t="s">
        <v>3148</v>
      </c>
      <c r="C38" s="14">
        <v>160</v>
      </c>
      <c r="D38" s="15">
        <v>220</v>
      </c>
      <c r="E38" s="14">
        <v>500</v>
      </c>
      <c r="F38" s="28">
        <v>64</v>
      </c>
      <c r="G38" s="136">
        <v>74</v>
      </c>
      <c r="H38" s="27">
        <v>200</v>
      </c>
      <c r="I38" s="28">
        <v>1450</v>
      </c>
      <c r="J38" s="38" t="s">
        <v>707</v>
      </c>
      <c r="K38" s="39">
        <v>1968</v>
      </c>
      <c r="L38" s="40">
        <v>2.952</v>
      </c>
      <c r="M38" s="281"/>
      <c r="N38" s="282"/>
    </row>
    <row r="39" spans="1:14" ht="15.75" thickBot="1">
      <c r="A39" s="2"/>
      <c r="B39" s="13" t="s">
        <v>3149</v>
      </c>
      <c r="C39" s="14">
        <v>11</v>
      </c>
      <c r="D39" s="15">
        <v>15</v>
      </c>
      <c r="E39" s="14">
        <v>380</v>
      </c>
      <c r="F39" s="28">
        <v>7</v>
      </c>
      <c r="G39" s="136">
        <v>13</v>
      </c>
      <c r="H39" s="27">
        <v>250</v>
      </c>
      <c r="I39" s="28">
        <v>1450</v>
      </c>
      <c r="J39" s="38" t="s">
        <v>707</v>
      </c>
      <c r="K39" s="39">
        <v>342</v>
      </c>
      <c r="L39" s="40">
        <v>0.51300000000000001</v>
      </c>
      <c r="M39" s="249">
        <v>17470.029600000002</v>
      </c>
      <c r="N39" s="249">
        <v>17930.620800000001</v>
      </c>
    </row>
    <row r="40" spans="1:14" ht="15.75" thickBot="1">
      <c r="A40" s="2"/>
      <c r="B40" s="13" t="s">
        <v>3150</v>
      </c>
      <c r="C40" s="14">
        <v>15</v>
      </c>
      <c r="D40" s="15">
        <v>20</v>
      </c>
      <c r="E40" s="14">
        <v>400</v>
      </c>
      <c r="F40" s="28">
        <v>10</v>
      </c>
      <c r="G40" s="136">
        <v>14.8</v>
      </c>
      <c r="H40" s="27">
        <v>250</v>
      </c>
      <c r="I40" s="28">
        <v>1450</v>
      </c>
      <c r="J40" s="38" t="s">
        <v>707</v>
      </c>
      <c r="K40" s="39">
        <v>364</v>
      </c>
      <c r="L40" s="40">
        <v>0.54600000000000004</v>
      </c>
      <c r="M40" s="249">
        <v>18138.211200000002</v>
      </c>
      <c r="N40" s="249">
        <v>18718.815600000002</v>
      </c>
    </row>
    <row r="41" spans="1:14" ht="15.75" thickBot="1">
      <c r="A41" s="2"/>
      <c r="B41" s="13" t="s">
        <v>3151</v>
      </c>
      <c r="C41" s="14">
        <v>22</v>
      </c>
      <c r="D41" s="15">
        <v>30</v>
      </c>
      <c r="E41" s="14">
        <v>480</v>
      </c>
      <c r="F41" s="28">
        <v>12</v>
      </c>
      <c r="G41" s="136">
        <v>16</v>
      </c>
      <c r="H41" s="27">
        <v>250</v>
      </c>
      <c r="I41" s="28">
        <v>1450</v>
      </c>
      <c r="J41" s="38" t="s">
        <v>707</v>
      </c>
      <c r="K41" s="39">
        <v>454</v>
      </c>
      <c r="L41" s="40">
        <v>0.68100000000000005</v>
      </c>
      <c r="M41" s="249">
        <v>21446.683199999999</v>
      </c>
      <c r="N41" s="249">
        <v>22108.3776</v>
      </c>
    </row>
    <row r="42" spans="1:14" ht="15.75" thickBot="1">
      <c r="A42" s="2"/>
      <c r="B42" s="13" t="s">
        <v>3152</v>
      </c>
      <c r="C42" s="14">
        <v>30</v>
      </c>
      <c r="D42" s="15">
        <v>40</v>
      </c>
      <c r="E42" s="14">
        <v>600</v>
      </c>
      <c r="F42" s="28">
        <v>12</v>
      </c>
      <c r="G42" s="136">
        <v>21</v>
      </c>
      <c r="H42" s="27">
        <v>250</v>
      </c>
      <c r="I42" s="28">
        <v>1450</v>
      </c>
      <c r="J42" s="38" t="s">
        <v>707</v>
      </c>
      <c r="K42" s="39">
        <v>753</v>
      </c>
      <c r="L42" s="40">
        <v>1.1299999999999999</v>
      </c>
      <c r="M42" s="249">
        <v>32494.384800000003</v>
      </c>
      <c r="N42" s="249">
        <v>33623.157600000006</v>
      </c>
    </row>
    <row r="43" spans="1:14" ht="15.75" thickBot="1">
      <c r="A43" s="2"/>
      <c r="B43" s="13" t="s">
        <v>3153</v>
      </c>
      <c r="C43" s="14">
        <v>37</v>
      </c>
      <c r="D43" s="15">
        <v>50</v>
      </c>
      <c r="E43" s="14">
        <v>600</v>
      </c>
      <c r="F43" s="28">
        <v>15</v>
      </c>
      <c r="G43" s="136">
        <v>24</v>
      </c>
      <c r="H43" s="27">
        <v>250</v>
      </c>
      <c r="I43" s="28">
        <v>1450</v>
      </c>
      <c r="J43" s="38" t="s">
        <v>707</v>
      </c>
      <c r="K43" s="39">
        <v>784</v>
      </c>
      <c r="L43" s="40">
        <v>1.1759999999999999</v>
      </c>
      <c r="M43" s="277" t="s">
        <v>1260</v>
      </c>
      <c r="N43" s="278"/>
    </row>
    <row r="44" spans="1:14" ht="15.75" thickBot="1">
      <c r="A44" s="16"/>
      <c r="B44" s="13" t="s">
        <v>3154</v>
      </c>
      <c r="C44" s="14">
        <v>45</v>
      </c>
      <c r="D44" s="15">
        <v>60</v>
      </c>
      <c r="E44" s="14">
        <v>600</v>
      </c>
      <c r="F44" s="28">
        <v>18</v>
      </c>
      <c r="G44" s="136">
        <v>28.7</v>
      </c>
      <c r="H44" s="27">
        <v>250</v>
      </c>
      <c r="I44" s="28">
        <v>1450</v>
      </c>
      <c r="J44" s="38" t="s">
        <v>707</v>
      </c>
      <c r="K44" s="39">
        <v>846</v>
      </c>
      <c r="L44" s="40">
        <v>1.2689999999999999</v>
      </c>
      <c r="M44" s="279"/>
      <c r="N44" s="280"/>
    </row>
    <row r="45" spans="1:14" ht="15.75" thickBot="1">
      <c r="A45" s="2"/>
      <c r="B45" s="13" t="s">
        <v>3155</v>
      </c>
      <c r="C45" s="14">
        <v>55</v>
      </c>
      <c r="D45" s="15">
        <v>75</v>
      </c>
      <c r="E45" s="14">
        <v>600</v>
      </c>
      <c r="F45" s="28">
        <v>24</v>
      </c>
      <c r="G45" s="136">
        <v>32</v>
      </c>
      <c r="H45" s="27">
        <v>250</v>
      </c>
      <c r="I45" s="28">
        <v>1450</v>
      </c>
      <c r="J45" s="38" t="s">
        <v>707</v>
      </c>
      <c r="K45" s="39">
        <v>883</v>
      </c>
      <c r="L45" s="40">
        <v>1.325</v>
      </c>
      <c r="M45" s="281"/>
      <c r="N45" s="282"/>
    </row>
    <row r="46" spans="1:14" ht="15.75" thickBot="1">
      <c r="A46" s="2"/>
      <c r="B46" s="13" t="s">
        <v>3156</v>
      </c>
      <c r="C46" s="14">
        <v>30</v>
      </c>
      <c r="D46" s="15">
        <v>40</v>
      </c>
      <c r="E46" s="14">
        <v>500</v>
      </c>
      <c r="F46" s="28">
        <v>13</v>
      </c>
      <c r="G46" s="136">
        <v>17</v>
      </c>
      <c r="H46" s="27">
        <v>250</v>
      </c>
      <c r="I46" s="28">
        <v>980</v>
      </c>
      <c r="J46" s="38" t="s">
        <v>707</v>
      </c>
      <c r="K46" s="39">
        <v>773</v>
      </c>
      <c r="L46" s="40">
        <v>1.1599999999999999</v>
      </c>
      <c r="M46" s="249">
        <v>33616.670400000003</v>
      </c>
      <c r="N46" s="249">
        <v>34975.738800000006</v>
      </c>
    </row>
    <row r="47" spans="1:14" ht="15.75" thickBot="1">
      <c r="A47" s="2"/>
      <c r="B47" s="13" t="s">
        <v>3157</v>
      </c>
      <c r="C47" s="14">
        <v>37</v>
      </c>
      <c r="D47" s="15">
        <v>50</v>
      </c>
      <c r="E47" s="14">
        <v>600</v>
      </c>
      <c r="F47" s="28">
        <v>14</v>
      </c>
      <c r="G47" s="136">
        <v>20.7</v>
      </c>
      <c r="H47" s="27">
        <v>250</v>
      </c>
      <c r="I47" s="28">
        <v>980</v>
      </c>
      <c r="J47" s="38" t="s">
        <v>707</v>
      </c>
      <c r="K47" s="39">
        <v>806</v>
      </c>
      <c r="L47" s="40">
        <v>1.2090000000000001</v>
      </c>
      <c r="M47" s="277" t="s">
        <v>1260</v>
      </c>
      <c r="N47" s="278"/>
    </row>
    <row r="48" spans="1:14" ht="15.75" thickBot="1">
      <c r="A48" s="2"/>
      <c r="B48" s="13" t="s">
        <v>3158</v>
      </c>
      <c r="C48" s="14">
        <v>45</v>
      </c>
      <c r="D48" s="15">
        <v>60</v>
      </c>
      <c r="E48" s="14">
        <v>650</v>
      </c>
      <c r="F48" s="28">
        <v>16</v>
      </c>
      <c r="G48" s="136">
        <v>22</v>
      </c>
      <c r="H48" s="27">
        <v>250</v>
      </c>
      <c r="I48" s="28">
        <v>980</v>
      </c>
      <c r="J48" s="38" t="s">
        <v>707</v>
      </c>
      <c r="K48" s="39">
        <v>1092</v>
      </c>
      <c r="L48" s="40">
        <v>1.6379999999999999</v>
      </c>
      <c r="M48" s="279"/>
      <c r="N48" s="280"/>
    </row>
    <row r="49" spans="1:14" ht="15.75" thickBot="1">
      <c r="A49" s="2"/>
      <c r="B49" s="13" t="s">
        <v>3159</v>
      </c>
      <c r="C49" s="14">
        <v>55</v>
      </c>
      <c r="D49" s="15">
        <v>75</v>
      </c>
      <c r="E49" s="14">
        <v>700</v>
      </c>
      <c r="F49" s="28">
        <v>20</v>
      </c>
      <c r="G49" s="136">
        <v>26</v>
      </c>
      <c r="H49" s="27">
        <v>250</v>
      </c>
      <c r="I49" s="28">
        <v>980</v>
      </c>
      <c r="J49" s="38" t="s">
        <v>707</v>
      </c>
      <c r="K49" s="39">
        <v>1147</v>
      </c>
      <c r="L49" s="40">
        <v>1.7210000000000001</v>
      </c>
      <c r="M49" s="279"/>
      <c r="N49" s="280"/>
    </row>
    <row r="50" spans="1:14" ht="15.75" thickBot="1">
      <c r="A50" s="2"/>
      <c r="B50" s="13" t="s">
        <v>3160</v>
      </c>
      <c r="C50" s="14">
        <v>75</v>
      </c>
      <c r="D50" s="15">
        <v>100</v>
      </c>
      <c r="E50" s="14">
        <v>700</v>
      </c>
      <c r="F50" s="28">
        <v>27</v>
      </c>
      <c r="G50" s="136">
        <v>38</v>
      </c>
      <c r="H50" s="27">
        <v>250</v>
      </c>
      <c r="I50" s="28">
        <v>1450</v>
      </c>
      <c r="J50" s="38" t="s">
        <v>707</v>
      </c>
      <c r="K50" s="39">
        <v>1226</v>
      </c>
      <c r="L50" s="40">
        <v>1.839</v>
      </c>
      <c r="M50" s="279"/>
      <c r="N50" s="280"/>
    </row>
    <row r="51" spans="1:14" ht="15.75" thickBot="1">
      <c r="A51" s="2"/>
      <c r="B51" s="13" t="s">
        <v>3161</v>
      </c>
      <c r="C51" s="14">
        <v>90</v>
      </c>
      <c r="D51" s="15">
        <v>125</v>
      </c>
      <c r="E51" s="14">
        <v>750</v>
      </c>
      <c r="F51" s="28">
        <v>30</v>
      </c>
      <c r="G51" s="136">
        <v>46</v>
      </c>
      <c r="H51" s="27">
        <v>250</v>
      </c>
      <c r="I51" s="28">
        <v>1450</v>
      </c>
      <c r="J51" s="38" t="s">
        <v>707</v>
      </c>
      <c r="K51" s="39">
        <v>1310</v>
      </c>
      <c r="L51" s="40">
        <v>1.9650000000000001</v>
      </c>
      <c r="M51" s="279"/>
      <c r="N51" s="280"/>
    </row>
    <row r="52" spans="1:14" ht="15.75" thickBot="1">
      <c r="A52" s="2"/>
      <c r="B52" s="13" t="s">
        <v>3162</v>
      </c>
      <c r="C52" s="14">
        <v>110</v>
      </c>
      <c r="D52" s="15">
        <v>150</v>
      </c>
      <c r="E52" s="14">
        <v>600</v>
      </c>
      <c r="F52" s="28">
        <v>40</v>
      </c>
      <c r="G52" s="136">
        <v>45</v>
      </c>
      <c r="H52" s="27">
        <v>250</v>
      </c>
      <c r="I52" s="28">
        <v>980</v>
      </c>
      <c r="J52" s="38" t="s">
        <v>707</v>
      </c>
      <c r="K52" s="39">
        <v>2089</v>
      </c>
      <c r="L52" s="40">
        <v>3.1339999999999999</v>
      </c>
      <c r="M52" s="279"/>
      <c r="N52" s="280"/>
    </row>
    <row r="53" spans="1:14" ht="15.75" thickBot="1">
      <c r="A53" s="2"/>
      <c r="B53" s="13" t="s">
        <v>3163</v>
      </c>
      <c r="C53" s="14">
        <v>110</v>
      </c>
      <c r="D53" s="15">
        <v>150</v>
      </c>
      <c r="E53" s="14">
        <v>650</v>
      </c>
      <c r="F53" s="28">
        <v>40</v>
      </c>
      <c r="G53" s="136">
        <v>50</v>
      </c>
      <c r="H53" s="27">
        <v>250</v>
      </c>
      <c r="I53" s="28">
        <v>1450</v>
      </c>
      <c r="J53" s="38" t="s">
        <v>707</v>
      </c>
      <c r="K53" s="39">
        <v>1809</v>
      </c>
      <c r="L53" s="40">
        <v>2.714</v>
      </c>
      <c r="M53" s="279"/>
      <c r="N53" s="280"/>
    </row>
    <row r="54" spans="1:14" ht="15.75" thickBot="1">
      <c r="A54" s="2"/>
      <c r="B54" s="13" t="s">
        <v>3164</v>
      </c>
      <c r="C54" s="14">
        <v>132</v>
      </c>
      <c r="D54" s="15">
        <v>180</v>
      </c>
      <c r="E54" s="14">
        <v>800</v>
      </c>
      <c r="F54" s="28">
        <v>40</v>
      </c>
      <c r="G54" s="136">
        <v>54.3</v>
      </c>
      <c r="H54" s="27">
        <v>250</v>
      </c>
      <c r="I54" s="28">
        <v>1450</v>
      </c>
      <c r="J54" s="38" t="s">
        <v>707</v>
      </c>
      <c r="K54" s="39">
        <v>1887</v>
      </c>
      <c r="L54" s="40">
        <v>2.831</v>
      </c>
      <c r="M54" s="279"/>
      <c r="N54" s="280"/>
    </row>
    <row r="55" spans="1:14" ht="15.75" thickBot="1">
      <c r="A55" s="2"/>
      <c r="B55" s="13" t="s">
        <v>3165</v>
      </c>
      <c r="C55" s="14">
        <v>160</v>
      </c>
      <c r="D55" s="15">
        <v>220</v>
      </c>
      <c r="E55" s="14">
        <v>800</v>
      </c>
      <c r="F55" s="28">
        <v>50</v>
      </c>
      <c r="G55" s="136">
        <v>62</v>
      </c>
      <c r="H55" s="27">
        <v>250</v>
      </c>
      <c r="I55" s="28">
        <v>1450</v>
      </c>
      <c r="J55" s="38" t="s">
        <v>707</v>
      </c>
      <c r="K55" s="39">
        <v>2003</v>
      </c>
      <c r="L55" s="40">
        <v>3.0049999999999999</v>
      </c>
      <c r="M55" s="281"/>
      <c r="N55" s="282"/>
    </row>
    <row r="56" spans="1:14" ht="15.75" thickBot="1">
      <c r="A56" s="2"/>
      <c r="B56" s="13" t="s">
        <v>3166</v>
      </c>
      <c r="C56" s="14">
        <v>15</v>
      </c>
      <c r="D56" s="15">
        <v>20</v>
      </c>
      <c r="E56" s="14">
        <v>600</v>
      </c>
      <c r="F56" s="28">
        <v>6</v>
      </c>
      <c r="G56" s="136">
        <v>11</v>
      </c>
      <c r="H56" s="27">
        <v>300</v>
      </c>
      <c r="I56" s="28">
        <v>980</v>
      </c>
      <c r="J56" s="38" t="s">
        <v>707</v>
      </c>
      <c r="K56" s="39">
        <v>571</v>
      </c>
      <c r="L56" s="40">
        <v>0.85699999999999998</v>
      </c>
      <c r="M56" s="249">
        <v>27184.611600000004</v>
      </c>
      <c r="N56" s="249">
        <v>27729.536400000001</v>
      </c>
    </row>
    <row r="57" spans="1:14" ht="15.75" thickBot="1">
      <c r="A57" s="2"/>
      <c r="B57" s="13" t="s">
        <v>3167</v>
      </c>
      <c r="C57" s="14">
        <v>18.5</v>
      </c>
      <c r="D57" s="15">
        <v>25</v>
      </c>
      <c r="E57" s="14">
        <v>600</v>
      </c>
      <c r="F57" s="28">
        <v>8</v>
      </c>
      <c r="G57" s="136">
        <v>13</v>
      </c>
      <c r="H57" s="27">
        <v>300</v>
      </c>
      <c r="I57" s="28">
        <v>980</v>
      </c>
      <c r="J57" s="38" t="s">
        <v>707</v>
      </c>
      <c r="K57" s="39">
        <v>607</v>
      </c>
      <c r="L57" s="40">
        <v>0.91100000000000003</v>
      </c>
      <c r="M57" s="249">
        <v>29539.465200000002</v>
      </c>
      <c r="N57" s="249">
        <v>30350.365200000004</v>
      </c>
    </row>
    <row r="58" spans="1:14" ht="15.75" thickBot="1">
      <c r="A58" s="2"/>
      <c r="B58" s="13" t="s">
        <v>3168</v>
      </c>
      <c r="C58" s="14">
        <v>22</v>
      </c>
      <c r="D58" s="15">
        <v>30</v>
      </c>
      <c r="E58" s="14">
        <v>700</v>
      </c>
      <c r="F58" s="28">
        <v>8</v>
      </c>
      <c r="G58" s="136">
        <v>14</v>
      </c>
      <c r="H58" s="27">
        <v>300</v>
      </c>
      <c r="I58" s="28">
        <v>980</v>
      </c>
      <c r="J58" s="38" t="s">
        <v>707</v>
      </c>
      <c r="K58" s="39">
        <v>625</v>
      </c>
      <c r="L58" s="40">
        <v>0.93799999999999994</v>
      </c>
      <c r="M58" s="249">
        <v>29902.748400000004</v>
      </c>
      <c r="N58" s="249">
        <v>30921.238800000003</v>
      </c>
    </row>
    <row r="59" spans="1:14" ht="15.75" thickBot="1">
      <c r="A59" s="2"/>
      <c r="B59" s="13" t="s">
        <v>3169</v>
      </c>
      <c r="C59" s="14">
        <v>30</v>
      </c>
      <c r="D59" s="15">
        <v>40</v>
      </c>
      <c r="E59" s="14">
        <v>800</v>
      </c>
      <c r="F59" s="28">
        <v>9</v>
      </c>
      <c r="G59" s="136">
        <v>16.7</v>
      </c>
      <c r="H59" s="27">
        <v>300</v>
      </c>
      <c r="I59" s="28">
        <v>980</v>
      </c>
      <c r="J59" s="38" t="s">
        <v>707</v>
      </c>
      <c r="K59" s="39">
        <v>792</v>
      </c>
      <c r="L59" s="40">
        <v>1.1879999999999999</v>
      </c>
      <c r="M59" s="249">
        <v>37285.182000000001</v>
      </c>
      <c r="N59" s="249">
        <v>38381.518800000005</v>
      </c>
    </row>
    <row r="60" spans="1:14" ht="15.75" thickBot="1">
      <c r="A60" s="2"/>
      <c r="B60" s="13" t="s">
        <v>3170</v>
      </c>
      <c r="C60" s="14">
        <v>37</v>
      </c>
      <c r="D60" s="15">
        <v>50</v>
      </c>
      <c r="E60" s="14">
        <v>800</v>
      </c>
      <c r="F60" s="28">
        <v>10</v>
      </c>
      <c r="G60" s="136">
        <v>19</v>
      </c>
      <c r="H60" s="27">
        <v>300</v>
      </c>
      <c r="I60" s="28">
        <v>980</v>
      </c>
      <c r="J60" s="38" t="s">
        <v>707</v>
      </c>
      <c r="K60" s="39">
        <v>825</v>
      </c>
      <c r="L60" s="40">
        <v>1.238</v>
      </c>
      <c r="M60" s="277" t="s">
        <v>1260</v>
      </c>
      <c r="N60" s="278"/>
    </row>
    <row r="61" spans="1:14" ht="15.75" thickBot="1">
      <c r="A61" s="2"/>
      <c r="B61" s="13" t="s">
        <v>3171</v>
      </c>
      <c r="C61" s="14">
        <v>45</v>
      </c>
      <c r="D61" s="15">
        <v>60</v>
      </c>
      <c r="E61" s="14">
        <v>900</v>
      </c>
      <c r="F61" s="28">
        <v>12</v>
      </c>
      <c r="G61" s="136">
        <v>22</v>
      </c>
      <c r="H61" s="27">
        <v>300</v>
      </c>
      <c r="I61" s="28">
        <v>980</v>
      </c>
      <c r="J61" s="38" t="s">
        <v>707</v>
      </c>
      <c r="K61" s="39">
        <v>1101</v>
      </c>
      <c r="L61" s="40">
        <v>1.6519999999999999</v>
      </c>
      <c r="M61" s="279"/>
      <c r="N61" s="280"/>
    </row>
    <row r="62" spans="1:14" ht="15.75" thickBot="1">
      <c r="A62" s="2"/>
      <c r="B62" s="13" t="s">
        <v>3172</v>
      </c>
      <c r="C62" s="14">
        <v>55</v>
      </c>
      <c r="D62" s="15">
        <v>75</v>
      </c>
      <c r="E62" s="14">
        <v>900</v>
      </c>
      <c r="F62" s="28">
        <v>16</v>
      </c>
      <c r="G62" s="136">
        <v>26</v>
      </c>
      <c r="H62" s="27">
        <v>300</v>
      </c>
      <c r="I62" s="28">
        <v>980</v>
      </c>
      <c r="J62" s="38" t="s">
        <v>707</v>
      </c>
      <c r="K62" s="39">
        <v>1159</v>
      </c>
      <c r="L62" s="40">
        <v>1.7390000000000001</v>
      </c>
      <c r="M62" s="279"/>
      <c r="N62" s="280"/>
    </row>
    <row r="63" spans="1:14" ht="15.75" thickBot="1">
      <c r="A63" s="2"/>
      <c r="B63" s="13" t="s">
        <v>3173</v>
      </c>
      <c r="C63" s="14">
        <v>75</v>
      </c>
      <c r="D63" s="15">
        <v>100</v>
      </c>
      <c r="E63" s="14">
        <v>800</v>
      </c>
      <c r="F63" s="28">
        <v>22</v>
      </c>
      <c r="G63" s="136">
        <v>28.2</v>
      </c>
      <c r="H63" s="27">
        <v>300</v>
      </c>
      <c r="I63" s="28">
        <v>980</v>
      </c>
      <c r="J63" s="38" t="s">
        <v>707</v>
      </c>
      <c r="K63" s="39">
        <v>1831</v>
      </c>
      <c r="L63" s="40">
        <v>2.7469999999999999</v>
      </c>
      <c r="M63" s="279"/>
      <c r="N63" s="280"/>
    </row>
    <row r="64" spans="1:14" ht="15.75" thickBot="1">
      <c r="A64" s="2"/>
      <c r="B64" s="13" t="s">
        <v>3174</v>
      </c>
      <c r="C64" s="14">
        <v>90</v>
      </c>
      <c r="D64" s="15">
        <v>125</v>
      </c>
      <c r="E64" s="14">
        <v>900</v>
      </c>
      <c r="F64" s="28">
        <v>24</v>
      </c>
      <c r="G64" s="136">
        <v>30.2</v>
      </c>
      <c r="H64" s="27">
        <v>300</v>
      </c>
      <c r="I64" s="28">
        <v>980</v>
      </c>
      <c r="J64" s="38" t="s">
        <v>707</v>
      </c>
      <c r="K64" s="39">
        <v>1928</v>
      </c>
      <c r="L64" s="40">
        <v>2.8919999999999999</v>
      </c>
      <c r="M64" s="279"/>
      <c r="N64" s="280"/>
    </row>
    <row r="65" spans="1:14" ht="15.75" thickBot="1">
      <c r="A65" s="2"/>
      <c r="B65" s="135" t="s">
        <v>3175</v>
      </c>
      <c r="C65" s="14">
        <v>110</v>
      </c>
      <c r="D65" s="15">
        <v>150</v>
      </c>
      <c r="E65" s="14">
        <v>1000</v>
      </c>
      <c r="F65" s="28">
        <v>27</v>
      </c>
      <c r="G65" s="136">
        <v>34</v>
      </c>
      <c r="H65" s="27">
        <v>300</v>
      </c>
      <c r="I65" s="28">
        <v>980</v>
      </c>
      <c r="J65" s="38" t="s">
        <v>707</v>
      </c>
      <c r="K65" s="39">
        <v>2118</v>
      </c>
      <c r="L65" s="40">
        <v>3.177</v>
      </c>
      <c r="M65" s="279"/>
      <c r="N65" s="280"/>
    </row>
    <row r="66" spans="1:14" ht="15.75" thickBot="1">
      <c r="A66" s="2"/>
      <c r="B66" s="13" t="s">
        <v>3176</v>
      </c>
      <c r="C66" s="14">
        <v>132</v>
      </c>
      <c r="D66" s="15">
        <v>180</v>
      </c>
      <c r="E66" s="14">
        <v>900</v>
      </c>
      <c r="F66" s="28">
        <v>35</v>
      </c>
      <c r="G66" s="136">
        <v>40.5</v>
      </c>
      <c r="H66" s="27">
        <v>300</v>
      </c>
      <c r="I66" s="28">
        <v>980</v>
      </c>
      <c r="J66" s="38" t="s">
        <v>707</v>
      </c>
      <c r="K66" s="39">
        <v>2237</v>
      </c>
      <c r="L66" s="40">
        <v>3.3559999999999999</v>
      </c>
      <c r="M66" s="279"/>
      <c r="N66" s="280"/>
    </row>
    <row r="67" spans="1:14" ht="15.75" thickBot="1">
      <c r="A67" s="2"/>
      <c r="B67" s="13" t="s">
        <v>3177</v>
      </c>
      <c r="C67" s="14">
        <v>75</v>
      </c>
      <c r="D67" s="15">
        <v>100</v>
      </c>
      <c r="E67" s="14">
        <v>900</v>
      </c>
      <c r="F67" s="28">
        <v>20</v>
      </c>
      <c r="G67" s="136">
        <v>35.5</v>
      </c>
      <c r="H67" s="27">
        <v>300</v>
      </c>
      <c r="I67" s="28">
        <v>1450</v>
      </c>
      <c r="J67" s="38" t="s">
        <v>707</v>
      </c>
      <c r="K67" s="39">
        <v>1232</v>
      </c>
      <c r="L67" s="40">
        <v>1.8480000000000001</v>
      </c>
      <c r="M67" s="279"/>
      <c r="N67" s="280"/>
    </row>
    <row r="68" spans="1:14" ht="15.75" thickBot="1">
      <c r="A68" s="2"/>
      <c r="B68" s="13" t="s">
        <v>3178</v>
      </c>
      <c r="C68" s="14">
        <v>90</v>
      </c>
      <c r="D68" s="15">
        <v>125</v>
      </c>
      <c r="E68" s="14">
        <v>900</v>
      </c>
      <c r="F68" s="28">
        <v>24</v>
      </c>
      <c r="G68" s="136">
        <v>37</v>
      </c>
      <c r="H68" s="27">
        <v>300</v>
      </c>
      <c r="I68" s="28">
        <v>1450</v>
      </c>
      <c r="J68" s="38" t="s">
        <v>707</v>
      </c>
      <c r="K68" s="39">
        <v>1316</v>
      </c>
      <c r="L68" s="40">
        <v>1.974</v>
      </c>
      <c r="M68" s="279"/>
      <c r="N68" s="280"/>
    </row>
    <row r="69" spans="1:14" ht="15.75" thickBot="1">
      <c r="A69" s="2"/>
      <c r="B69" s="135" t="s">
        <v>3179</v>
      </c>
      <c r="C69" s="14">
        <v>110</v>
      </c>
      <c r="D69" s="15">
        <v>150</v>
      </c>
      <c r="E69" s="14">
        <v>1000</v>
      </c>
      <c r="F69" s="28">
        <v>25</v>
      </c>
      <c r="G69" s="136">
        <v>38</v>
      </c>
      <c r="H69" s="27">
        <v>300</v>
      </c>
      <c r="I69" s="28">
        <v>1450</v>
      </c>
      <c r="J69" s="38" t="s">
        <v>707</v>
      </c>
      <c r="K69" s="39">
        <v>1848</v>
      </c>
      <c r="L69" s="40">
        <v>2.7719999999999998</v>
      </c>
      <c r="M69" s="279"/>
      <c r="N69" s="280"/>
    </row>
    <row r="70" spans="1:14" ht="15.75" thickBot="1">
      <c r="A70" s="2"/>
      <c r="B70" s="135" t="s">
        <v>3180</v>
      </c>
      <c r="C70" s="14">
        <v>132</v>
      </c>
      <c r="D70" s="15">
        <v>180</v>
      </c>
      <c r="E70" s="14">
        <v>1000</v>
      </c>
      <c r="F70" s="28">
        <v>30</v>
      </c>
      <c r="G70" s="136">
        <v>43</v>
      </c>
      <c r="H70" s="27">
        <v>300</v>
      </c>
      <c r="I70" s="28">
        <v>1450</v>
      </c>
      <c r="J70" s="38" t="s">
        <v>707</v>
      </c>
      <c r="K70" s="39">
        <v>1923</v>
      </c>
      <c r="L70" s="40">
        <v>2.8849999999999998</v>
      </c>
      <c r="M70" s="279"/>
      <c r="N70" s="280"/>
    </row>
    <row r="71" spans="1:14" ht="15.75" thickBot="1">
      <c r="A71" s="2"/>
      <c r="B71" s="135" t="s">
        <v>3181</v>
      </c>
      <c r="C71" s="14">
        <v>160</v>
      </c>
      <c r="D71" s="15">
        <v>220</v>
      </c>
      <c r="E71" s="14">
        <v>1100</v>
      </c>
      <c r="F71" s="28">
        <v>36</v>
      </c>
      <c r="G71" s="136">
        <v>49.5</v>
      </c>
      <c r="H71" s="27">
        <v>300</v>
      </c>
      <c r="I71" s="28">
        <v>1450</v>
      </c>
      <c r="J71" s="38" t="s">
        <v>707</v>
      </c>
      <c r="K71" s="39">
        <v>2061</v>
      </c>
      <c r="L71" s="40">
        <v>3.0920000000000001</v>
      </c>
      <c r="M71" s="281"/>
      <c r="N71" s="282"/>
    </row>
    <row r="72" spans="1:14" ht="15.75" thickBot="1">
      <c r="A72" s="2"/>
      <c r="B72" s="13" t="s">
        <v>3182</v>
      </c>
      <c r="C72" s="14">
        <v>30</v>
      </c>
      <c r="D72" s="15">
        <v>40</v>
      </c>
      <c r="E72" s="14">
        <v>950</v>
      </c>
      <c r="F72" s="28">
        <v>8</v>
      </c>
      <c r="G72" s="136">
        <v>12</v>
      </c>
      <c r="H72" s="27">
        <v>350</v>
      </c>
      <c r="I72" s="28">
        <v>980</v>
      </c>
      <c r="J72" s="38" t="s">
        <v>707</v>
      </c>
      <c r="K72" s="39">
        <v>887</v>
      </c>
      <c r="L72" s="40">
        <v>1.331</v>
      </c>
      <c r="M72" s="249">
        <v>45819.0936</v>
      </c>
      <c r="N72" s="249">
        <v>47087.341200000003</v>
      </c>
    </row>
    <row r="73" spans="1:14" ht="15.75" thickBot="1">
      <c r="A73" s="2"/>
      <c r="B73" s="13" t="s">
        <v>3183</v>
      </c>
      <c r="C73" s="14">
        <v>37</v>
      </c>
      <c r="D73" s="15">
        <v>50</v>
      </c>
      <c r="E73" s="14">
        <v>1100</v>
      </c>
      <c r="F73" s="28">
        <v>8</v>
      </c>
      <c r="G73" s="136">
        <v>13.4</v>
      </c>
      <c r="H73" s="27">
        <v>350</v>
      </c>
      <c r="I73" s="28">
        <v>980</v>
      </c>
      <c r="J73" s="38" t="s">
        <v>707</v>
      </c>
      <c r="K73" s="39">
        <v>976</v>
      </c>
      <c r="L73" s="40">
        <v>1.464</v>
      </c>
      <c r="M73" s="277" t="s">
        <v>1260</v>
      </c>
      <c r="N73" s="278"/>
    </row>
    <row r="74" spans="1:14" ht="15.75" thickBot="1">
      <c r="A74" s="2"/>
      <c r="B74" s="13" t="s">
        <v>3184</v>
      </c>
      <c r="C74" s="14">
        <v>45</v>
      </c>
      <c r="D74" s="15">
        <v>60</v>
      </c>
      <c r="E74" s="14">
        <v>1150</v>
      </c>
      <c r="F74" s="28">
        <v>10</v>
      </c>
      <c r="G74" s="136">
        <v>15.6</v>
      </c>
      <c r="H74" s="27">
        <v>350</v>
      </c>
      <c r="I74" s="28">
        <v>980</v>
      </c>
      <c r="J74" s="38" t="s">
        <v>707</v>
      </c>
      <c r="K74" s="39">
        <v>1182</v>
      </c>
      <c r="L74" s="40">
        <v>1.7729999999999999</v>
      </c>
      <c r="M74" s="279"/>
      <c r="N74" s="280"/>
    </row>
    <row r="75" spans="1:14" ht="15.75" thickBot="1">
      <c r="A75" s="2"/>
      <c r="B75" s="13" t="s">
        <v>3185</v>
      </c>
      <c r="C75" s="14">
        <v>55</v>
      </c>
      <c r="D75" s="15">
        <v>75</v>
      </c>
      <c r="E75" s="14">
        <v>1200</v>
      </c>
      <c r="F75" s="28">
        <v>12</v>
      </c>
      <c r="G75" s="136">
        <v>17</v>
      </c>
      <c r="H75" s="27">
        <v>350</v>
      </c>
      <c r="I75" s="28">
        <v>980</v>
      </c>
      <c r="J75" s="38" t="s">
        <v>707</v>
      </c>
      <c r="K75" s="39">
        <v>1238</v>
      </c>
      <c r="L75" s="40">
        <v>1.857</v>
      </c>
      <c r="M75" s="279"/>
      <c r="N75" s="280"/>
    </row>
    <row r="76" spans="1:14" ht="15.75" thickBot="1">
      <c r="A76" s="2"/>
      <c r="B76" s="13" t="s">
        <v>3186</v>
      </c>
      <c r="C76" s="14">
        <v>90</v>
      </c>
      <c r="D76" s="15">
        <v>125</v>
      </c>
      <c r="E76" s="14">
        <v>1200</v>
      </c>
      <c r="F76" s="28">
        <v>18</v>
      </c>
      <c r="G76" s="136">
        <v>28</v>
      </c>
      <c r="H76" s="27">
        <v>350</v>
      </c>
      <c r="I76" s="28">
        <v>980</v>
      </c>
      <c r="J76" s="38" t="s">
        <v>707</v>
      </c>
      <c r="K76" s="39">
        <v>1803</v>
      </c>
      <c r="L76" s="40">
        <v>2.7050000000000001</v>
      </c>
      <c r="M76" s="279"/>
      <c r="N76" s="280"/>
    </row>
    <row r="77" spans="1:14" ht="15.75" thickBot="1">
      <c r="A77" s="2"/>
      <c r="B77" s="135" t="s">
        <v>3187</v>
      </c>
      <c r="C77" s="14">
        <v>110</v>
      </c>
      <c r="D77" s="15">
        <v>150</v>
      </c>
      <c r="E77" s="14">
        <v>1200</v>
      </c>
      <c r="F77" s="28">
        <v>20</v>
      </c>
      <c r="G77" s="136">
        <v>31</v>
      </c>
      <c r="H77" s="27">
        <v>350</v>
      </c>
      <c r="I77" s="28">
        <v>980</v>
      </c>
      <c r="J77" s="38" t="s">
        <v>707</v>
      </c>
      <c r="K77" s="39">
        <v>2029</v>
      </c>
      <c r="L77" s="40">
        <v>3.044</v>
      </c>
      <c r="M77" s="279"/>
      <c r="N77" s="280"/>
    </row>
    <row r="78" spans="1:14" ht="15.75" thickBot="1">
      <c r="A78" s="2"/>
      <c r="B78" s="13" t="s">
        <v>3188</v>
      </c>
      <c r="C78" s="14">
        <v>75</v>
      </c>
      <c r="D78" s="15">
        <v>100</v>
      </c>
      <c r="E78" s="14">
        <v>1100</v>
      </c>
      <c r="F78" s="28">
        <v>16</v>
      </c>
      <c r="G78" s="136">
        <v>24.5</v>
      </c>
      <c r="H78" s="27">
        <v>350</v>
      </c>
      <c r="I78" s="28">
        <v>980</v>
      </c>
      <c r="J78" s="38" t="s">
        <v>707</v>
      </c>
      <c r="K78" s="39">
        <v>1868</v>
      </c>
      <c r="L78" s="40">
        <v>2.802</v>
      </c>
      <c r="M78" s="279"/>
      <c r="N78" s="280"/>
    </row>
    <row r="79" spans="1:14" ht="15.75" thickBot="1">
      <c r="A79" s="2"/>
      <c r="B79" s="13" t="s">
        <v>3189</v>
      </c>
      <c r="C79" s="14">
        <v>90</v>
      </c>
      <c r="D79" s="15">
        <v>125</v>
      </c>
      <c r="E79" s="14">
        <v>1400</v>
      </c>
      <c r="F79" s="28">
        <v>15</v>
      </c>
      <c r="G79" s="136">
        <v>28</v>
      </c>
      <c r="H79" s="27">
        <v>350</v>
      </c>
      <c r="I79" s="28">
        <v>980</v>
      </c>
      <c r="J79" s="38" t="s">
        <v>707</v>
      </c>
      <c r="K79" s="39">
        <v>1966</v>
      </c>
      <c r="L79" s="40">
        <v>2.9489999999999998</v>
      </c>
      <c r="M79" s="279"/>
      <c r="N79" s="280"/>
    </row>
    <row r="80" spans="1:14" ht="15.75" thickBot="1">
      <c r="A80" s="2"/>
      <c r="B80" s="135" t="s">
        <v>3190</v>
      </c>
      <c r="C80" s="14">
        <v>110</v>
      </c>
      <c r="D80" s="15">
        <v>150</v>
      </c>
      <c r="E80" s="14">
        <v>1600</v>
      </c>
      <c r="F80" s="28">
        <v>17</v>
      </c>
      <c r="G80" s="136">
        <v>29</v>
      </c>
      <c r="H80" s="27">
        <v>350</v>
      </c>
      <c r="I80" s="28">
        <v>980</v>
      </c>
      <c r="J80" s="38" t="s">
        <v>707</v>
      </c>
      <c r="K80" s="39">
        <v>2158</v>
      </c>
      <c r="L80" s="40">
        <v>3.2370000000000001</v>
      </c>
      <c r="M80" s="279"/>
      <c r="N80" s="280"/>
    </row>
    <row r="81" spans="1:14" ht="15.75" thickBot="1">
      <c r="A81" s="2"/>
      <c r="B81" s="135" t="s">
        <v>3191</v>
      </c>
      <c r="C81" s="14">
        <v>132</v>
      </c>
      <c r="D81" s="15">
        <v>180</v>
      </c>
      <c r="E81" s="14">
        <v>1700</v>
      </c>
      <c r="F81" s="28">
        <v>20</v>
      </c>
      <c r="G81" s="136">
        <v>33</v>
      </c>
      <c r="H81" s="27">
        <v>350</v>
      </c>
      <c r="I81" s="28">
        <v>980</v>
      </c>
      <c r="J81" s="38" t="s">
        <v>707</v>
      </c>
      <c r="K81" s="39">
        <v>2276</v>
      </c>
      <c r="L81" s="40">
        <v>3.4140000000000001</v>
      </c>
      <c r="M81" s="279"/>
      <c r="N81" s="280"/>
    </row>
    <row r="82" spans="1:14" ht="15.75" thickBot="1">
      <c r="A82" s="2"/>
      <c r="B82" s="135" t="s">
        <v>3192</v>
      </c>
      <c r="C82" s="14">
        <v>160</v>
      </c>
      <c r="D82" s="15">
        <v>220</v>
      </c>
      <c r="E82" s="14">
        <v>1100</v>
      </c>
      <c r="F82" s="28">
        <v>35</v>
      </c>
      <c r="G82" s="136">
        <v>39</v>
      </c>
      <c r="H82" s="27">
        <v>350</v>
      </c>
      <c r="I82" s="28">
        <v>980</v>
      </c>
      <c r="J82" s="38" t="s">
        <v>707</v>
      </c>
      <c r="K82" s="39">
        <v>2878</v>
      </c>
      <c r="L82" s="40">
        <v>4.3170000000000002</v>
      </c>
      <c r="M82" s="279"/>
      <c r="N82" s="280"/>
    </row>
    <row r="83" spans="1:14" ht="15.75" thickBot="1">
      <c r="A83" s="2"/>
      <c r="B83" s="13" t="s">
        <v>3193</v>
      </c>
      <c r="C83" s="14">
        <v>75</v>
      </c>
      <c r="D83" s="15">
        <v>100</v>
      </c>
      <c r="E83" s="14">
        <v>1600</v>
      </c>
      <c r="F83" s="28">
        <v>11</v>
      </c>
      <c r="G83" s="136">
        <v>19</v>
      </c>
      <c r="H83" s="27">
        <v>400</v>
      </c>
      <c r="I83" s="28">
        <v>980</v>
      </c>
      <c r="J83" s="38" t="s">
        <v>707</v>
      </c>
      <c r="K83" s="39">
        <v>1978</v>
      </c>
      <c r="L83" s="40">
        <v>2.9670000000000001</v>
      </c>
      <c r="M83" s="279"/>
      <c r="N83" s="280"/>
    </row>
    <row r="84" spans="1:14" ht="15.75" thickBot="1">
      <c r="A84" s="2"/>
      <c r="B84" s="13" t="s">
        <v>3194</v>
      </c>
      <c r="C84" s="14">
        <v>90</v>
      </c>
      <c r="D84" s="15">
        <v>125</v>
      </c>
      <c r="E84" s="14">
        <v>1800</v>
      </c>
      <c r="F84" s="28">
        <v>12</v>
      </c>
      <c r="G84" s="136">
        <v>22</v>
      </c>
      <c r="H84" s="27">
        <v>400</v>
      </c>
      <c r="I84" s="28">
        <v>980</v>
      </c>
      <c r="J84" s="38" t="s">
        <v>707</v>
      </c>
      <c r="K84" s="39">
        <v>2078</v>
      </c>
      <c r="L84" s="40">
        <v>3.117</v>
      </c>
      <c r="M84" s="279"/>
      <c r="N84" s="280"/>
    </row>
    <row r="85" spans="1:14" ht="15.75" thickBot="1">
      <c r="A85" s="2"/>
      <c r="B85" s="135" t="s">
        <v>3195</v>
      </c>
      <c r="C85" s="14">
        <v>110</v>
      </c>
      <c r="D85" s="15">
        <v>150</v>
      </c>
      <c r="E85" s="14">
        <v>1900</v>
      </c>
      <c r="F85" s="28">
        <v>15</v>
      </c>
      <c r="G85" s="136">
        <v>27</v>
      </c>
      <c r="H85" s="27">
        <v>400</v>
      </c>
      <c r="I85" s="28">
        <v>980</v>
      </c>
      <c r="J85" s="38" t="s">
        <v>707</v>
      </c>
      <c r="K85" s="39">
        <v>2267</v>
      </c>
      <c r="L85" s="40">
        <v>3.4009999999999998</v>
      </c>
      <c r="M85" s="279"/>
      <c r="N85" s="280"/>
    </row>
    <row r="86" spans="1:14" ht="15.75" thickBot="1">
      <c r="A86" s="2"/>
      <c r="B86" s="135" t="s">
        <v>3196</v>
      </c>
      <c r="C86" s="14">
        <v>132</v>
      </c>
      <c r="D86" s="15">
        <v>180</v>
      </c>
      <c r="E86" s="14">
        <v>2300</v>
      </c>
      <c r="F86" s="28">
        <v>14</v>
      </c>
      <c r="G86" s="136">
        <v>30</v>
      </c>
      <c r="H86" s="27">
        <v>400</v>
      </c>
      <c r="I86" s="28">
        <v>980</v>
      </c>
      <c r="J86" s="38" t="s">
        <v>707</v>
      </c>
      <c r="K86" s="39">
        <v>2386</v>
      </c>
      <c r="L86" s="40">
        <v>3.5790000000000002</v>
      </c>
      <c r="M86" s="279"/>
      <c r="N86" s="280"/>
    </row>
    <row r="87" spans="1:14" ht="15.75" thickBot="1">
      <c r="A87" s="2"/>
      <c r="B87" s="135" t="s">
        <v>3197</v>
      </c>
      <c r="C87" s="14">
        <v>160</v>
      </c>
      <c r="D87" s="15">
        <v>220</v>
      </c>
      <c r="E87" s="14">
        <v>1600</v>
      </c>
      <c r="F87" s="28">
        <v>25</v>
      </c>
      <c r="G87" s="136">
        <v>33</v>
      </c>
      <c r="H87" s="27">
        <v>400</v>
      </c>
      <c r="I87" s="28">
        <v>980</v>
      </c>
      <c r="J87" s="38" t="s">
        <v>707</v>
      </c>
      <c r="K87" s="39">
        <v>2934</v>
      </c>
      <c r="L87" s="40">
        <v>4.4009999999999998</v>
      </c>
      <c r="M87" s="281"/>
      <c r="N87" s="282"/>
    </row>
    <row r="88" spans="1:14" ht="15.75" thickBot="1">
      <c r="A88" s="2"/>
      <c r="B88" s="13" t="s">
        <v>3198</v>
      </c>
      <c r="C88" s="14">
        <v>30</v>
      </c>
      <c r="D88" s="15">
        <v>40</v>
      </c>
      <c r="E88" s="14">
        <v>1200</v>
      </c>
      <c r="F88" s="28">
        <v>6</v>
      </c>
      <c r="G88" s="136">
        <v>7.5</v>
      </c>
      <c r="H88" s="27">
        <v>400</v>
      </c>
      <c r="I88" s="28">
        <v>740</v>
      </c>
      <c r="J88" s="38" t="s">
        <v>707</v>
      </c>
      <c r="K88" s="39">
        <v>1904</v>
      </c>
      <c r="L88" s="40">
        <v>2.8559999999999999</v>
      </c>
      <c r="M88" s="249">
        <v>57599.8488</v>
      </c>
      <c r="N88" s="249">
        <v>58605.364800000003</v>
      </c>
    </row>
    <row r="89" spans="1:14" ht="15.75" thickBot="1">
      <c r="A89" s="2"/>
      <c r="B89" s="13" t="s">
        <v>3199</v>
      </c>
      <c r="C89" s="14">
        <v>37</v>
      </c>
      <c r="D89" s="15">
        <v>50</v>
      </c>
      <c r="E89" s="14">
        <v>1300</v>
      </c>
      <c r="F89" s="28">
        <v>7</v>
      </c>
      <c r="G89" s="136">
        <v>8.6</v>
      </c>
      <c r="H89" s="27">
        <v>400</v>
      </c>
      <c r="I89" s="28">
        <v>740</v>
      </c>
      <c r="J89" s="38" t="s">
        <v>707</v>
      </c>
      <c r="K89" s="39">
        <v>1945</v>
      </c>
      <c r="L89" s="40">
        <v>2.9180000000000001</v>
      </c>
      <c r="M89" s="277" t="s">
        <v>1260</v>
      </c>
      <c r="N89" s="278"/>
    </row>
    <row r="90" spans="1:14" ht="15.75" thickBot="1">
      <c r="A90" s="2"/>
      <c r="B90" s="13" t="s">
        <v>3200</v>
      </c>
      <c r="C90" s="14">
        <v>45</v>
      </c>
      <c r="D90" s="15">
        <v>60</v>
      </c>
      <c r="E90" s="14">
        <v>1400</v>
      </c>
      <c r="F90" s="28">
        <v>8</v>
      </c>
      <c r="G90" s="136">
        <v>10</v>
      </c>
      <c r="H90" s="27">
        <v>400</v>
      </c>
      <c r="I90" s="28">
        <v>740</v>
      </c>
      <c r="J90" s="38" t="s">
        <v>707</v>
      </c>
      <c r="K90" s="39">
        <v>2034</v>
      </c>
      <c r="L90" s="40">
        <v>3.0510000000000002</v>
      </c>
      <c r="M90" s="279"/>
      <c r="N90" s="280"/>
    </row>
    <row r="91" spans="1:14" ht="15.75" thickBot="1">
      <c r="A91" s="2"/>
      <c r="B91" s="13" t="s">
        <v>3201</v>
      </c>
      <c r="C91" s="14">
        <v>55</v>
      </c>
      <c r="D91" s="15">
        <v>75</v>
      </c>
      <c r="E91" s="14">
        <v>1500</v>
      </c>
      <c r="F91" s="28">
        <v>10</v>
      </c>
      <c r="G91" s="136">
        <v>11.8</v>
      </c>
      <c r="H91" s="27">
        <v>400</v>
      </c>
      <c r="I91" s="28">
        <v>740</v>
      </c>
      <c r="J91" s="38" t="s">
        <v>707</v>
      </c>
      <c r="K91" s="39">
        <v>2139</v>
      </c>
      <c r="L91" s="40">
        <v>3.2090000000000001</v>
      </c>
      <c r="M91" s="279"/>
      <c r="N91" s="280"/>
    </row>
    <row r="92" spans="1:14" ht="15.75" thickBot="1">
      <c r="A92" s="2"/>
      <c r="B92" s="13" t="s">
        <v>3202</v>
      </c>
      <c r="C92" s="14">
        <v>75</v>
      </c>
      <c r="D92" s="15">
        <v>100</v>
      </c>
      <c r="E92" s="14">
        <v>2000</v>
      </c>
      <c r="F92" s="28">
        <v>9</v>
      </c>
      <c r="G92" s="136">
        <v>12.5</v>
      </c>
      <c r="H92" s="27">
        <v>400</v>
      </c>
      <c r="I92" s="28">
        <v>740</v>
      </c>
      <c r="J92" s="38" t="s">
        <v>707</v>
      </c>
      <c r="K92" s="39">
        <v>2296</v>
      </c>
      <c r="L92" s="40">
        <v>3.444</v>
      </c>
      <c r="M92" s="279"/>
      <c r="N92" s="280"/>
    </row>
    <row r="93" spans="1:14" ht="15.75" thickBot="1">
      <c r="A93" s="2"/>
      <c r="B93" s="13" t="s">
        <v>3203</v>
      </c>
      <c r="C93" s="14">
        <v>90</v>
      </c>
      <c r="D93" s="15">
        <v>125</v>
      </c>
      <c r="E93" s="14">
        <v>2200</v>
      </c>
      <c r="F93" s="28">
        <v>10</v>
      </c>
      <c r="G93" s="136">
        <v>14</v>
      </c>
      <c r="H93" s="27">
        <v>400</v>
      </c>
      <c r="I93" s="28">
        <v>740</v>
      </c>
      <c r="J93" s="38" t="s">
        <v>707</v>
      </c>
      <c r="K93" s="39">
        <v>2632</v>
      </c>
      <c r="L93" s="40">
        <v>3.948</v>
      </c>
      <c r="M93" s="279"/>
      <c r="N93" s="280"/>
    </row>
    <row r="94" spans="1:14" ht="15.75" thickBot="1">
      <c r="A94" s="2"/>
      <c r="B94" s="135" t="s">
        <v>3204</v>
      </c>
      <c r="C94" s="14">
        <v>110</v>
      </c>
      <c r="D94" s="15">
        <v>150</v>
      </c>
      <c r="E94" s="14">
        <v>2200</v>
      </c>
      <c r="F94" s="28">
        <v>12</v>
      </c>
      <c r="G94" s="136">
        <v>15.6</v>
      </c>
      <c r="H94" s="27">
        <v>400</v>
      </c>
      <c r="I94" s="28">
        <v>740</v>
      </c>
      <c r="J94" s="38" t="s">
        <v>707</v>
      </c>
      <c r="K94" s="39">
        <v>3002</v>
      </c>
      <c r="L94" s="40">
        <v>4.5030000000000001</v>
      </c>
      <c r="M94" s="279"/>
      <c r="N94" s="280"/>
    </row>
    <row r="95" spans="1:14" ht="15.75" thickBot="1">
      <c r="A95" s="2"/>
      <c r="B95" s="135" t="s">
        <v>3205</v>
      </c>
      <c r="C95" s="14">
        <v>132</v>
      </c>
      <c r="D95" s="15">
        <v>180</v>
      </c>
      <c r="E95" s="14">
        <v>2200</v>
      </c>
      <c r="F95" s="28">
        <v>15</v>
      </c>
      <c r="G95" s="136">
        <v>17.5</v>
      </c>
      <c r="H95" s="27">
        <v>400</v>
      </c>
      <c r="I95" s="28">
        <v>740</v>
      </c>
      <c r="J95" s="38" t="s">
        <v>707</v>
      </c>
      <c r="K95" s="39">
        <v>3063</v>
      </c>
      <c r="L95" s="40">
        <v>4.5949999999999998</v>
      </c>
      <c r="M95" s="279"/>
      <c r="N95" s="280"/>
    </row>
    <row r="96" spans="1:14" ht="15.75" thickBot="1">
      <c r="A96" s="2"/>
      <c r="B96" s="135" t="s">
        <v>3206</v>
      </c>
      <c r="C96" s="14">
        <v>160</v>
      </c>
      <c r="D96" s="15">
        <v>220</v>
      </c>
      <c r="E96" s="14">
        <v>2400</v>
      </c>
      <c r="F96" s="28">
        <v>17</v>
      </c>
      <c r="G96" s="136">
        <v>21.5</v>
      </c>
      <c r="H96" s="27">
        <v>400</v>
      </c>
      <c r="I96" s="28">
        <v>740</v>
      </c>
      <c r="J96" s="38" t="s">
        <v>707</v>
      </c>
      <c r="K96" s="39">
        <v>3360</v>
      </c>
      <c r="L96" s="40">
        <v>5.04</v>
      </c>
      <c r="M96" s="279"/>
      <c r="N96" s="280"/>
    </row>
    <row r="97" spans="1:14" ht="15.75" thickBot="1">
      <c r="A97" s="2"/>
      <c r="B97" s="13" t="s">
        <v>3207</v>
      </c>
      <c r="C97" s="14">
        <v>90</v>
      </c>
      <c r="D97" s="15">
        <v>125</v>
      </c>
      <c r="E97" s="14">
        <v>2500</v>
      </c>
      <c r="F97" s="28">
        <v>8</v>
      </c>
      <c r="G97" s="136">
        <v>11.5</v>
      </c>
      <c r="H97" s="27">
        <v>500</v>
      </c>
      <c r="I97" s="28">
        <v>740</v>
      </c>
      <c r="J97" s="38" t="s">
        <v>707</v>
      </c>
      <c r="K97" s="39">
        <v>2610</v>
      </c>
      <c r="L97" s="40">
        <v>3.915</v>
      </c>
      <c r="M97" s="279"/>
      <c r="N97" s="280"/>
    </row>
    <row r="98" spans="1:14" ht="15.75" thickBot="1">
      <c r="A98" s="2"/>
      <c r="B98" s="135" t="s">
        <v>3208</v>
      </c>
      <c r="C98" s="14">
        <v>110</v>
      </c>
      <c r="D98" s="15">
        <v>150</v>
      </c>
      <c r="E98" s="14">
        <v>2500</v>
      </c>
      <c r="F98" s="28">
        <v>10</v>
      </c>
      <c r="G98" s="136">
        <v>13.3</v>
      </c>
      <c r="H98" s="27">
        <v>500</v>
      </c>
      <c r="I98" s="28">
        <v>740</v>
      </c>
      <c r="J98" s="38" t="s">
        <v>707</v>
      </c>
      <c r="K98" s="39">
        <v>2677</v>
      </c>
      <c r="L98" s="40">
        <v>4.016</v>
      </c>
      <c r="M98" s="279"/>
      <c r="N98" s="280"/>
    </row>
    <row r="99" spans="1:14" ht="15.75" thickBot="1">
      <c r="A99" s="2"/>
      <c r="B99" s="135" t="s">
        <v>3209</v>
      </c>
      <c r="C99" s="14">
        <v>132</v>
      </c>
      <c r="D99" s="15">
        <v>180</v>
      </c>
      <c r="E99" s="14">
        <v>3000</v>
      </c>
      <c r="F99" s="28">
        <v>10</v>
      </c>
      <c r="G99" s="136">
        <v>16</v>
      </c>
      <c r="H99" s="27">
        <v>500</v>
      </c>
      <c r="I99" s="28">
        <v>740</v>
      </c>
      <c r="J99" s="38" t="s">
        <v>707</v>
      </c>
      <c r="K99" s="39">
        <v>3114</v>
      </c>
      <c r="L99" s="40">
        <v>4.6710000000000003</v>
      </c>
      <c r="M99" s="279"/>
      <c r="N99" s="280"/>
    </row>
    <row r="100" spans="1:14" ht="15.75" thickBot="1">
      <c r="A100" s="2"/>
      <c r="B100" s="135" t="s">
        <v>3210</v>
      </c>
      <c r="C100" s="14">
        <v>160</v>
      </c>
      <c r="D100" s="15">
        <v>220</v>
      </c>
      <c r="E100" s="14">
        <v>3000</v>
      </c>
      <c r="F100" s="28">
        <v>14</v>
      </c>
      <c r="G100" s="136">
        <v>22.5</v>
      </c>
      <c r="H100" s="27">
        <v>500</v>
      </c>
      <c r="I100" s="28">
        <v>740</v>
      </c>
      <c r="J100" s="38" t="s">
        <v>707</v>
      </c>
      <c r="K100" s="39">
        <v>3506</v>
      </c>
      <c r="L100" s="40">
        <v>5.2590000000000003</v>
      </c>
      <c r="M100" s="281"/>
      <c r="N100" s="282"/>
    </row>
    <row r="101" spans="1:14" ht="23.25" thickBot="1">
      <c r="A101" s="7"/>
      <c r="B101" s="63"/>
      <c r="C101" s="63"/>
      <c r="D101" s="63"/>
      <c r="E101" s="63"/>
      <c r="F101" s="63"/>
      <c r="G101" s="63"/>
      <c r="H101" s="63"/>
      <c r="I101" s="1"/>
      <c r="J101" s="63"/>
      <c r="K101" s="1"/>
      <c r="L101" s="1"/>
      <c r="M101" s="63"/>
      <c r="N101" s="63"/>
    </row>
    <row r="102" spans="1:14" ht="15">
      <c r="B102" s="44" t="s">
        <v>1375</v>
      </c>
      <c r="C102" s="45" t="s">
        <v>2983</v>
      </c>
      <c r="D102" s="46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ht="15">
      <c r="B103" s="47" t="s">
        <v>1374</v>
      </c>
      <c r="C103" s="48" t="s">
        <v>1384</v>
      </c>
      <c r="D103" s="49"/>
      <c r="E103" s="52"/>
      <c r="F103" s="52"/>
      <c r="G103" s="52"/>
      <c r="H103" s="52"/>
      <c r="I103" s="52"/>
      <c r="J103" s="52"/>
      <c r="K103" s="52"/>
      <c r="L103" s="52"/>
      <c r="M103" s="52"/>
      <c r="N103" s="52"/>
    </row>
    <row r="104" spans="1:14" ht="15">
      <c r="B104" s="47" t="s">
        <v>1385</v>
      </c>
      <c r="C104" s="48" t="s">
        <v>2720</v>
      </c>
      <c r="D104" s="49"/>
      <c r="E104" s="52"/>
      <c r="F104" s="52"/>
      <c r="G104" s="52"/>
      <c r="H104" s="52"/>
      <c r="I104" s="52"/>
      <c r="J104" s="52"/>
      <c r="K104" s="52"/>
      <c r="L104" s="52"/>
      <c r="M104" s="52"/>
      <c r="N104" s="52"/>
    </row>
    <row r="105" spans="1:14" ht="15">
      <c r="A105" s="117"/>
      <c r="B105" s="47" t="s">
        <v>2723</v>
      </c>
      <c r="C105" s="48" t="s">
        <v>2721</v>
      </c>
      <c r="D105" s="49"/>
      <c r="E105" s="52"/>
      <c r="F105" s="52"/>
      <c r="G105" s="52"/>
      <c r="H105" s="52"/>
      <c r="I105" s="52"/>
      <c r="J105" s="52"/>
      <c r="K105" s="52"/>
      <c r="L105" s="52"/>
      <c r="M105" s="52"/>
      <c r="N105" s="52"/>
    </row>
    <row r="106" spans="1:14" ht="15">
      <c r="A106" s="54"/>
      <c r="B106" s="60" t="s">
        <v>2724</v>
      </c>
      <c r="C106" s="56" t="s">
        <v>2719</v>
      </c>
      <c r="D106" s="57"/>
      <c r="E106" s="58"/>
      <c r="F106" s="58"/>
      <c r="G106" s="58"/>
      <c r="H106" s="58"/>
      <c r="I106" s="58"/>
      <c r="J106" s="58"/>
      <c r="K106" s="58"/>
      <c r="L106" s="58"/>
      <c r="M106" s="58"/>
      <c r="N106" s="58"/>
    </row>
    <row r="107" spans="1:14" ht="15"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</row>
  </sheetData>
  <mergeCells count="14">
    <mergeCell ref="M89:N100"/>
    <mergeCell ref="M60:N71"/>
    <mergeCell ref="M73:N87"/>
    <mergeCell ref="B6:N6"/>
    <mergeCell ref="M22:N25"/>
    <mergeCell ref="M31:N38"/>
    <mergeCell ref="M43:N45"/>
    <mergeCell ref="M47:N55"/>
    <mergeCell ref="B8:B9"/>
    <mergeCell ref="C8:D9"/>
    <mergeCell ref="E8:G8"/>
    <mergeCell ref="M8:N8"/>
    <mergeCell ref="M9:N9"/>
    <mergeCell ref="M17:N1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B2:S93"/>
  <sheetViews>
    <sheetView zoomScale="85" zoomScaleNormal="85" workbookViewId="0">
      <selection activeCell="O66" sqref="O66"/>
    </sheetView>
  </sheetViews>
  <sheetFormatPr defaultRowHeight="14.25"/>
  <cols>
    <col min="1" max="1" width="29" customWidth="1"/>
    <col min="2" max="2" width="25.875" customWidth="1"/>
    <col min="3" max="3" width="19" customWidth="1"/>
    <col min="9" max="9" width="13.75" customWidth="1"/>
    <col min="10" max="10" width="10.625" customWidth="1"/>
    <col min="11" max="11" width="11.375" customWidth="1"/>
    <col min="14" max="14" width="10.5" customWidth="1"/>
    <col min="15" max="15" width="14.375" customWidth="1"/>
    <col min="19" max="19" width="15.625" customWidth="1"/>
  </cols>
  <sheetData>
    <row r="2" spans="2:15">
      <c r="C2" s="288" t="s">
        <v>2688</v>
      </c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</row>
    <row r="3" spans="2:15" ht="63" customHeight="1"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</row>
    <row r="6" spans="2:15" hidden="1"/>
    <row r="7" spans="2:15" ht="25.5">
      <c r="B7" s="287" t="s">
        <v>2826</v>
      </c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</row>
    <row r="8" spans="2:15" ht="23.25" thickBot="1">
      <c r="C8" s="63"/>
      <c r="D8" s="63"/>
      <c r="E8" s="63"/>
      <c r="F8" s="63"/>
      <c r="G8" s="63"/>
      <c r="H8" s="63"/>
      <c r="I8" s="63"/>
      <c r="J8" s="1"/>
      <c r="K8" s="63"/>
      <c r="L8" s="1"/>
      <c r="M8" s="1"/>
      <c r="N8" s="63"/>
      <c r="O8" s="63"/>
    </row>
    <row r="9" spans="2:15" ht="86.25" customHeight="1" thickBot="1">
      <c r="B9" s="262" t="s">
        <v>2827</v>
      </c>
      <c r="C9" s="262" t="s">
        <v>2828</v>
      </c>
      <c r="D9" s="255" t="s">
        <v>2667</v>
      </c>
      <c r="E9" s="253"/>
      <c r="F9" s="257" t="s">
        <v>2829</v>
      </c>
      <c r="G9" s="258"/>
      <c r="H9" s="258"/>
      <c r="I9" s="18" t="s">
        <v>2738</v>
      </c>
      <c r="J9" s="19" t="s">
        <v>4</v>
      </c>
      <c r="K9" s="30" t="s">
        <v>2729</v>
      </c>
      <c r="L9" s="31" t="s">
        <v>2675</v>
      </c>
      <c r="M9" s="31" t="s">
        <v>2677</v>
      </c>
      <c r="N9" s="290" t="s">
        <v>2731</v>
      </c>
      <c r="O9" s="290"/>
    </row>
    <row r="10" spans="2:15" ht="15.75" thickBot="1">
      <c r="B10" s="262"/>
      <c r="C10" s="262"/>
      <c r="D10" s="256"/>
      <c r="E10" s="254"/>
      <c r="F10" s="20" t="s">
        <v>2736</v>
      </c>
      <c r="G10" s="33" t="s">
        <v>2735</v>
      </c>
      <c r="H10" s="10" t="s">
        <v>2737</v>
      </c>
      <c r="I10" s="21"/>
      <c r="J10" s="22"/>
      <c r="K10" s="32"/>
      <c r="L10" s="33"/>
      <c r="M10" s="33"/>
      <c r="N10" s="291" t="s">
        <v>2732</v>
      </c>
      <c r="O10" s="291"/>
    </row>
    <row r="11" spans="2:15" ht="15.75" thickBot="1">
      <c r="B11" s="209"/>
      <c r="C11" s="205"/>
      <c r="D11" s="12" t="s">
        <v>2668</v>
      </c>
      <c r="E11" s="11" t="s">
        <v>2725</v>
      </c>
      <c r="F11" s="23" t="s">
        <v>2726</v>
      </c>
      <c r="G11" s="133" t="s">
        <v>2727</v>
      </c>
      <c r="H11" s="134" t="s">
        <v>2727</v>
      </c>
      <c r="I11" s="25" t="s">
        <v>2728</v>
      </c>
      <c r="J11" s="26" t="s">
        <v>2673</v>
      </c>
      <c r="K11" s="34"/>
      <c r="L11" s="35" t="s">
        <v>2676</v>
      </c>
      <c r="M11" s="196" t="s">
        <v>2678</v>
      </c>
      <c r="N11" s="139" t="s">
        <v>2733</v>
      </c>
      <c r="O11" s="139" t="s">
        <v>2734</v>
      </c>
    </row>
    <row r="12" spans="2:15" ht="18.75" thickBot="1">
      <c r="B12" s="207" t="s">
        <v>910</v>
      </c>
      <c r="C12" s="208" t="s">
        <v>2749</v>
      </c>
      <c r="D12" s="14">
        <v>0.75</v>
      </c>
      <c r="E12" s="15">
        <v>1</v>
      </c>
      <c r="F12" s="14">
        <v>10</v>
      </c>
      <c r="G12" s="28">
        <v>9.5</v>
      </c>
      <c r="H12" s="136">
        <v>13.5</v>
      </c>
      <c r="I12" s="27">
        <v>50</v>
      </c>
      <c r="J12" s="28">
        <v>2900</v>
      </c>
      <c r="K12" s="38" t="s">
        <v>2750</v>
      </c>
      <c r="L12" s="39">
        <v>24</v>
      </c>
      <c r="M12" s="210">
        <f>0.48*0.2*0.22</f>
        <v>2.112E-2</v>
      </c>
      <c r="N12" s="226">
        <v>373.42199999999997</v>
      </c>
      <c r="O12" s="227">
        <v>345.57600000000002</v>
      </c>
    </row>
    <row r="13" spans="2:15" ht="18.75" thickBot="1">
      <c r="B13" s="206" t="s">
        <v>911</v>
      </c>
      <c r="C13" s="13" t="s">
        <v>2751</v>
      </c>
      <c r="D13" s="14">
        <v>1.1000000000000001</v>
      </c>
      <c r="E13" s="15">
        <v>1.5</v>
      </c>
      <c r="F13" s="14">
        <v>10</v>
      </c>
      <c r="G13" s="28">
        <v>10.5</v>
      </c>
      <c r="H13" s="136">
        <v>15.6</v>
      </c>
      <c r="I13" s="27">
        <v>50</v>
      </c>
      <c r="J13" s="28">
        <v>2900</v>
      </c>
      <c r="K13" s="38" t="s">
        <v>2750</v>
      </c>
      <c r="L13" s="39">
        <v>25</v>
      </c>
      <c r="M13" s="210">
        <f>0.48*0.2*0.22</f>
        <v>2.112E-2</v>
      </c>
      <c r="N13" s="228">
        <v>422.68800000000005</v>
      </c>
      <c r="O13" s="229">
        <v>380.91899999999998</v>
      </c>
    </row>
    <row r="14" spans="2:15" ht="18.75" thickBot="1">
      <c r="B14" s="206" t="s">
        <v>912</v>
      </c>
      <c r="C14" s="13" t="s">
        <v>2752</v>
      </c>
      <c r="D14" s="14">
        <v>1.5</v>
      </c>
      <c r="E14" s="15">
        <v>2</v>
      </c>
      <c r="F14" s="14">
        <v>20</v>
      </c>
      <c r="G14" s="28">
        <v>13.5</v>
      </c>
      <c r="H14" s="136">
        <v>20.5</v>
      </c>
      <c r="I14" s="27">
        <v>50</v>
      </c>
      <c r="J14" s="28">
        <v>2900</v>
      </c>
      <c r="K14" s="38" t="s">
        <v>2750</v>
      </c>
      <c r="L14" s="39">
        <v>39</v>
      </c>
      <c r="M14" s="210">
        <f>0.6*0.27*0.25</f>
        <v>4.0500000000000001E-2</v>
      </c>
      <c r="N14" s="228">
        <v>547.63800000000003</v>
      </c>
      <c r="O14" s="229">
        <v>506.94</v>
      </c>
    </row>
    <row r="15" spans="2:15" ht="18.75" thickBot="1">
      <c r="B15" s="206" t="s">
        <v>913</v>
      </c>
      <c r="C15" s="13" t="s">
        <v>2753</v>
      </c>
      <c r="D15" s="14">
        <v>2.2000000000000002</v>
      </c>
      <c r="E15" s="15">
        <v>3</v>
      </c>
      <c r="F15" s="14">
        <v>25</v>
      </c>
      <c r="G15" s="28">
        <v>15</v>
      </c>
      <c r="H15" s="136">
        <v>22.2</v>
      </c>
      <c r="I15" s="27">
        <v>50</v>
      </c>
      <c r="J15" s="28">
        <v>2900</v>
      </c>
      <c r="K15" s="38" t="s">
        <v>2750</v>
      </c>
      <c r="L15" s="39">
        <v>44</v>
      </c>
      <c r="M15" s="210">
        <f>0.61*0.29*0.29</f>
        <v>5.1300999999999986E-2</v>
      </c>
      <c r="N15" s="228"/>
      <c r="O15" s="229">
        <v>550.49399999999991</v>
      </c>
    </row>
    <row r="16" spans="2:15" ht="18.75" thickBot="1">
      <c r="B16" s="206" t="s">
        <v>916</v>
      </c>
      <c r="C16" s="13" t="s">
        <v>2754</v>
      </c>
      <c r="D16" s="14">
        <v>3</v>
      </c>
      <c r="E16" s="15">
        <v>4</v>
      </c>
      <c r="F16" s="14">
        <v>25</v>
      </c>
      <c r="G16" s="28">
        <v>17.5</v>
      </c>
      <c r="H16" s="136">
        <v>25.2</v>
      </c>
      <c r="I16" s="27">
        <v>50</v>
      </c>
      <c r="J16" s="28">
        <v>2900</v>
      </c>
      <c r="K16" s="38" t="s">
        <v>2750</v>
      </c>
      <c r="L16" s="39">
        <v>49</v>
      </c>
      <c r="M16" s="210">
        <f>0.63*0.26*0.3</f>
        <v>4.9139999999999996E-2</v>
      </c>
      <c r="N16" s="228"/>
      <c r="O16" s="229">
        <v>732.20699999999999</v>
      </c>
    </row>
    <row r="17" spans="2:15" ht="18.75" thickBot="1">
      <c r="B17" s="206"/>
      <c r="C17" s="13" t="s">
        <v>2755</v>
      </c>
      <c r="D17" s="14">
        <v>4</v>
      </c>
      <c r="E17" s="15">
        <v>5.5</v>
      </c>
      <c r="F17" s="14">
        <v>25</v>
      </c>
      <c r="G17" s="28">
        <v>23</v>
      </c>
      <c r="H17" s="136">
        <v>31.8</v>
      </c>
      <c r="I17" s="27">
        <v>50</v>
      </c>
      <c r="J17" s="28">
        <v>2900</v>
      </c>
      <c r="K17" s="38" t="s">
        <v>2750</v>
      </c>
      <c r="L17" s="39">
        <v>55</v>
      </c>
      <c r="M17" s="210">
        <v>5.5E-2</v>
      </c>
      <c r="N17" s="228"/>
      <c r="O17" s="229">
        <v>834.66600000000005</v>
      </c>
    </row>
    <row r="18" spans="2:15" ht="18.75" thickBot="1">
      <c r="B18" s="206"/>
      <c r="C18" s="13" t="s">
        <v>2756</v>
      </c>
      <c r="D18" s="14">
        <v>5.5</v>
      </c>
      <c r="E18" s="15">
        <v>7.5</v>
      </c>
      <c r="F18" s="14">
        <v>25</v>
      </c>
      <c r="G18" s="28">
        <v>34</v>
      </c>
      <c r="H18" s="136">
        <v>43.3</v>
      </c>
      <c r="I18" s="27">
        <v>50</v>
      </c>
      <c r="J18" s="28">
        <v>2900</v>
      </c>
      <c r="K18" s="38" t="s">
        <v>2750</v>
      </c>
      <c r="L18" s="39">
        <v>66</v>
      </c>
      <c r="M18" s="210">
        <v>7.0000000000000007E-2</v>
      </c>
      <c r="N18" s="228"/>
      <c r="O18" s="229">
        <v>1024.9470000000001</v>
      </c>
    </row>
    <row r="19" spans="2:15" ht="18.75" thickBot="1">
      <c r="B19" s="206"/>
      <c r="C19" s="13" t="s">
        <v>2757</v>
      </c>
      <c r="D19" s="14">
        <v>7.5</v>
      </c>
      <c r="E19" s="15">
        <v>10</v>
      </c>
      <c r="F19" s="14">
        <v>30</v>
      </c>
      <c r="G19" s="28">
        <v>33.6</v>
      </c>
      <c r="H19" s="136">
        <v>45.7</v>
      </c>
      <c r="I19" s="27">
        <v>50</v>
      </c>
      <c r="J19" s="28">
        <v>2900</v>
      </c>
      <c r="K19" s="38" t="s">
        <v>2750</v>
      </c>
      <c r="L19" s="39">
        <v>76</v>
      </c>
      <c r="M19" s="210">
        <v>7.6999999999999999E-2</v>
      </c>
      <c r="N19" s="228"/>
      <c r="O19" s="229">
        <v>1148.1120000000001</v>
      </c>
    </row>
    <row r="20" spans="2:15" ht="18.75" thickBot="1">
      <c r="B20" s="206"/>
      <c r="C20" s="13" t="s">
        <v>2758</v>
      </c>
      <c r="D20" s="14">
        <v>9.1999999999999993</v>
      </c>
      <c r="E20" s="15">
        <v>12.5</v>
      </c>
      <c r="F20" s="14">
        <v>30</v>
      </c>
      <c r="G20" s="28">
        <v>37</v>
      </c>
      <c r="H20" s="136">
        <v>47.9</v>
      </c>
      <c r="I20" s="27">
        <v>50</v>
      </c>
      <c r="J20" s="28">
        <v>2900</v>
      </c>
      <c r="K20" s="38" t="s">
        <v>2750</v>
      </c>
      <c r="L20" s="39">
        <v>160</v>
      </c>
      <c r="M20" s="210">
        <v>0.16</v>
      </c>
      <c r="N20" s="228"/>
      <c r="O20" s="229">
        <v>2099.16</v>
      </c>
    </row>
    <row r="21" spans="2:15" ht="18.75" thickBot="1">
      <c r="B21" s="206"/>
      <c r="C21" s="13" t="s">
        <v>2759</v>
      </c>
      <c r="D21" s="14">
        <v>11</v>
      </c>
      <c r="E21" s="15">
        <v>15</v>
      </c>
      <c r="F21" s="14">
        <v>30</v>
      </c>
      <c r="G21" s="28">
        <v>49.3</v>
      </c>
      <c r="H21" s="136">
        <v>60.3</v>
      </c>
      <c r="I21" s="27">
        <v>50</v>
      </c>
      <c r="J21" s="28">
        <v>2900</v>
      </c>
      <c r="K21" s="38" t="s">
        <v>2750</v>
      </c>
      <c r="L21" s="39">
        <v>173</v>
      </c>
      <c r="M21" s="210">
        <v>0.2</v>
      </c>
      <c r="N21" s="228"/>
      <c r="O21" s="229">
        <v>3398.64</v>
      </c>
    </row>
    <row r="22" spans="2:15" ht="18.75" thickBot="1">
      <c r="B22" s="206"/>
      <c r="C22" s="13" t="s">
        <v>2760</v>
      </c>
      <c r="D22" s="14">
        <v>15</v>
      </c>
      <c r="E22" s="15">
        <v>20</v>
      </c>
      <c r="F22" s="14">
        <v>35</v>
      </c>
      <c r="G22" s="28">
        <v>63.5</v>
      </c>
      <c r="H22" s="136">
        <v>76.3</v>
      </c>
      <c r="I22" s="27">
        <v>50</v>
      </c>
      <c r="J22" s="28">
        <v>2900</v>
      </c>
      <c r="K22" s="38" t="s">
        <v>2750</v>
      </c>
      <c r="L22" s="39">
        <v>187</v>
      </c>
      <c r="M22" s="210">
        <v>0.21</v>
      </c>
      <c r="N22" s="228"/>
      <c r="O22" s="229">
        <v>3545.01</v>
      </c>
    </row>
    <row r="23" spans="2:15" ht="18.75" thickBot="1">
      <c r="B23" s="206"/>
      <c r="C23" s="13" t="s">
        <v>2761</v>
      </c>
      <c r="D23" s="14">
        <v>1.5</v>
      </c>
      <c r="E23" s="15">
        <v>2</v>
      </c>
      <c r="F23" s="14">
        <v>25</v>
      </c>
      <c r="G23" s="28">
        <v>8.5</v>
      </c>
      <c r="H23" s="136">
        <v>19.2</v>
      </c>
      <c r="I23" s="27">
        <v>65</v>
      </c>
      <c r="J23" s="28">
        <v>2900</v>
      </c>
      <c r="K23" s="38" t="s">
        <v>2750</v>
      </c>
      <c r="L23" s="39">
        <v>40</v>
      </c>
      <c r="M23" s="210">
        <v>4.2999999999999997E-2</v>
      </c>
      <c r="N23" s="228">
        <v>554.77800000000002</v>
      </c>
      <c r="O23" s="229">
        <v>514.08000000000004</v>
      </c>
    </row>
    <row r="24" spans="2:15" ht="18.75" thickBot="1">
      <c r="B24" s="206" t="s">
        <v>914</v>
      </c>
      <c r="C24" s="13" t="s">
        <v>2762</v>
      </c>
      <c r="D24" s="14">
        <v>2.2000000000000002</v>
      </c>
      <c r="E24" s="15">
        <v>3</v>
      </c>
      <c r="F24" s="14">
        <v>30</v>
      </c>
      <c r="G24" s="28">
        <v>11</v>
      </c>
      <c r="H24" s="136">
        <v>21.7</v>
      </c>
      <c r="I24" s="27">
        <v>65</v>
      </c>
      <c r="J24" s="28">
        <v>2900</v>
      </c>
      <c r="K24" s="38" t="s">
        <v>2750</v>
      </c>
      <c r="L24" s="39">
        <v>45</v>
      </c>
      <c r="M24" s="210">
        <f>0.61*0.29*0.29</f>
        <v>5.1300999999999986E-2</v>
      </c>
      <c r="N24" s="228"/>
      <c r="O24" s="229">
        <v>562.27499999999998</v>
      </c>
    </row>
    <row r="25" spans="2:15" ht="18.75" thickBot="1">
      <c r="B25" s="206" t="s">
        <v>917</v>
      </c>
      <c r="C25" s="13" t="s">
        <v>2763</v>
      </c>
      <c r="D25" s="14">
        <v>3</v>
      </c>
      <c r="E25" s="15">
        <v>4</v>
      </c>
      <c r="F25" s="14">
        <v>30</v>
      </c>
      <c r="G25" s="28">
        <v>15</v>
      </c>
      <c r="H25" s="136">
        <v>24.5</v>
      </c>
      <c r="I25" s="27">
        <v>65</v>
      </c>
      <c r="J25" s="28">
        <v>2900</v>
      </c>
      <c r="K25" s="38" t="s">
        <v>2750</v>
      </c>
      <c r="L25" s="39">
        <v>50</v>
      </c>
      <c r="M25" s="210">
        <f>0.63*0.26*0.3</f>
        <v>4.9139999999999996E-2</v>
      </c>
      <c r="N25" s="228"/>
      <c r="O25" s="229">
        <v>743.63100000000009</v>
      </c>
    </row>
    <row r="26" spans="2:15" ht="18.75" thickBot="1">
      <c r="B26" s="206" t="s">
        <v>919</v>
      </c>
      <c r="C26" s="13" t="s">
        <v>2764</v>
      </c>
      <c r="D26" s="14">
        <v>4</v>
      </c>
      <c r="E26" s="15">
        <v>5.5</v>
      </c>
      <c r="F26" s="14">
        <v>40</v>
      </c>
      <c r="G26" s="28">
        <v>19.5</v>
      </c>
      <c r="H26" s="136">
        <v>29</v>
      </c>
      <c r="I26" s="27">
        <v>65</v>
      </c>
      <c r="J26" s="28">
        <v>2900</v>
      </c>
      <c r="K26" s="38" t="s">
        <v>2750</v>
      </c>
      <c r="L26" s="39">
        <v>56</v>
      </c>
      <c r="M26" s="210">
        <f>0.64*0.29*0.32</f>
        <v>5.9392E-2</v>
      </c>
      <c r="N26" s="228"/>
      <c r="O26" s="229">
        <v>837.52200000000005</v>
      </c>
    </row>
    <row r="27" spans="2:15" ht="18.75" thickBot="1">
      <c r="B27" s="206"/>
      <c r="C27" s="13" t="s">
        <v>2765</v>
      </c>
      <c r="D27" s="14">
        <v>5.5</v>
      </c>
      <c r="E27" s="15">
        <v>7.5</v>
      </c>
      <c r="F27" s="14">
        <v>50</v>
      </c>
      <c r="G27" s="28">
        <v>19.3</v>
      </c>
      <c r="H27" s="136">
        <v>31.9</v>
      </c>
      <c r="I27" s="27">
        <v>65</v>
      </c>
      <c r="J27" s="28">
        <v>2900</v>
      </c>
      <c r="K27" s="38" t="s">
        <v>2750</v>
      </c>
      <c r="L27" s="39">
        <v>68</v>
      </c>
      <c r="M27" s="210">
        <f>0.73*0.29*0.34</f>
        <v>7.1978E-2</v>
      </c>
      <c r="N27" s="228"/>
      <c r="O27" s="229">
        <v>1021.02</v>
      </c>
    </row>
    <row r="28" spans="2:15" ht="18.75" thickBot="1">
      <c r="B28" s="206"/>
      <c r="C28" s="13" t="s">
        <v>2766</v>
      </c>
      <c r="D28" s="14">
        <v>7.5</v>
      </c>
      <c r="E28" s="15">
        <v>10</v>
      </c>
      <c r="F28" s="14">
        <v>50</v>
      </c>
      <c r="G28" s="28">
        <v>20.3</v>
      </c>
      <c r="H28" s="136">
        <v>31.1</v>
      </c>
      <c r="I28" s="27">
        <v>65</v>
      </c>
      <c r="J28" s="28">
        <v>2900</v>
      </c>
      <c r="K28" s="38" t="s">
        <v>2750</v>
      </c>
      <c r="L28" s="39">
        <v>78</v>
      </c>
      <c r="M28" s="210">
        <f>0.73*0.31*0.35</f>
        <v>7.9204999999999998E-2</v>
      </c>
      <c r="N28" s="228"/>
      <c r="O28" s="229">
        <v>1144.1849999999999</v>
      </c>
    </row>
    <row r="29" spans="2:15" ht="18.75" thickBot="1">
      <c r="B29" s="206" t="s">
        <v>915</v>
      </c>
      <c r="C29" s="13" t="s">
        <v>2767</v>
      </c>
      <c r="D29" s="14">
        <v>2.2000000000000002</v>
      </c>
      <c r="E29" s="15">
        <v>3</v>
      </c>
      <c r="F29" s="14">
        <v>35</v>
      </c>
      <c r="G29" s="28">
        <v>11.1</v>
      </c>
      <c r="H29" s="136">
        <v>23</v>
      </c>
      <c r="I29" s="27">
        <v>80</v>
      </c>
      <c r="J29" s="28">
        <v>2900</v>
      </c>
      <c r="K29" s="38" t="s">
        <v>2750</v>
      </c>
      <c r="L29" s="39">
        <v>47</v>
      </c>
      <c r="M29" s="210">
        <f>0.61*0.29*0.29</f>
        <v>5.1300999999999986E-2</v>
      </c>
      <c r="N29" s="228"/>
      <c r="O29" s="229">
        <v>576.91200000000003</v>
      </c>
    </row>
    <row r="30" spans="2:15" ht="18.75" thickBot="1">
      <c r="B30" s="206" t="s">
        <v>918</v>
      </c>
      <c r="C30" s="13" t="s">
        <v>2768</v>
      </c>
      <c r="D30" s="14">
        <v>3</v>
      </c>
      <c r="E30" s="15">
        <v>4</v>
      </c>
      <c r="F30" s="14">
        <v>40</v>
      </c>
      <c r="G30" s="28">
        <v>13</v>
      </c>
      <c r="H30" s="136">
        <v>25.6</v>
      </c>
      <c r="I30" s="27">
        <v>80</v>
      </c>
      <c r="J30" s="28">
        <v>2900</v>
      </c>
      <c r="K30" s="38" t="s">
        <v>2750</v>
      </c>
      <c r="L30" s="39">
        <v>51</v>
      </c>
      <c r="M30" s="210">
        <f>0.63*0.26*0.3</f>
        <v>4.9139999999999996E-2</v>
      </c>
      <c r="N30" s="228"/>
      <c r="O30" s="229">
        <v>778.97399999999993</v>
      </c>
    </row>
    <row r="31" spans="2:15" ht="18.75" thickBot="1">
      <c r="B31" s="206" t="s">
        <v>920</v>
      </c>
      <c r="C31" s="13" t="s">
        <v>2769</v>
      </c>
      <c r="D31" s="14">
        <v>4</v>
      </c>
      <c r="E31" s="15">
        <v>5.5</v>
      </c>
      <c r="F31" s="14">
        <v>45</v>
      </c>
      <c r="G31" s="28">
        <v>18</v>
      </c>
      <c r="H31" s="136">
        <v>28.9</v>
      </c>
      <c r="I31" s="27">
        <v>80</v>
      </c>
      <c r="J31" s="28">
        <v>2900</v>
      </c>
      <c r="K31" s="38" t="s">
        <v>2750</v>
      </c>
      <c r="L31" s="39">
        <v>58</v>
      </c>
      <c r="M31" s="210">
        <f>0.64*0.29*0.32</f>
        <v>5.9392E-2</v>
      </c>
      <c r="N31" s="228"/>
      <c r="O31" s="229">
        <v>849.303</v>
      </c>
    </row>
    <row r="32" spans="2:15" ht="18.75" thickBot="1">
      <c r="B32" s="206" t="s">
        <v>921</v>
      </c>
      <c r="C32" s="13" t="s">
        <v>2770</v>
      </c>
      <c r="D32" s="14">
        <v>5.5</v>
      </c>
      <c r="E32" s="15">
        <v>7.5</v>
      </c>
      <c r="F32" s="14">
        <v>50</v>
      </c>
      <c r="G32" s="28">
        <v>20</v>
      </c>
      <c r="H32" s="136">
        <v>31.9</v>
      </c>
      <c r="I32" s="27">
        <v>80</v>
      </c>
      <c r="J32" s="28">
        <v>2900</v>
      </c>
      <c r="K32" s="38" t="s">
        <v>2750</v>
      </c>
      <c r="L32" s="39">
        <v>68</v>
      </c>
      <c r="M32" s="210">
        <f>0.73*0.29*0.34</f>
        <v>7.1978E-2</v>
      </c>
      <c r="N32" s="228"/>
      <c r="O32" s="229">
        <v>1024.9470000000001</v>
      </c>
    </row>
    <row r="33" spans="2:15" ht="18.75" thickBot="1">
      <c r="B33" s="206" t="s">
        <v>923</v>
      </c>
      <c r="C33" s="13" t="s">
        <v>2771</v>
      </c>
      <c r="D33" s="14">
        <v>7.5</v>
      </c>
      <c r="E33" s="15">
        <v>10</v>
      </c>
      <c r="F33" s="14">
        <v>50</v>
      </c>
      <c r="G33" s="28">
        <v>22.8</v>
      </c>
      <c r="H33" s="136">
        <v>32.200000000000003</v>
      </c>
      <c r="I33" s="27">
        <v>80</v>
      </c>
      <c r="J33" s="28">
        <v>2900</v>
      </c>
      <c r="K33" s="38" t="s">
        <v>2750</v>
      </c>
      <c r="L33" s="39">
        <v>78</v>
      </c>
      <c r="M33" s="210">
        <f>0.73*0.31*0.35</f>
        <v>7.9204999999999998E-2</v>
      </c>
      <c r="N33" s="228"/>
      <c r="O33" s="229">
        <v>1148.1120000000001</v>
      </c>
    </row>
    <row r="34" spans="2:15" ht="18.75" thickBot="1">
      <c r="B34" s="206"/>
      <c r="C34" s="13" t="s">
        <v>2772</v>
      </c>
      <c r="D34" s="14">
        <v>11</v>
      </c>
      <c r="E34" s="15">
        <v>15</v>
      </c>
      <c r="F34" s="14">
        <v>80</v>
      </c>
      <c r="G34" s="28">
        <v>25</v>
      </c>
      <c r="H34" s="136">
        <v>37.799999999999997</v>
      </c>
      <c r="I34" s="27">
        <v>80</v>
      </c>
      <c r="J34" s="28">
        <v>2900</v>
      </c>
      <c r="K34" s="38" t="s">
        <v>2750</v>
      </c>
      <c r="L34" s="39">
        <v>193</v>
      </c>
      <c r="M34" s="210">
        <v>0.22387199999999999</v>
      </c>
      <c r="N34" s="228"/>
      <c r="O34" s="229">
        <v>3435.0540000000005</v>
      </c>
    </row>
    <row r="35" spans="2:15" ht="18.75" thickBot="1">
      <c r="B35" s="206"/>
      <c r="C35" s="13" t="s">
        <v>2773</v>
      </c>
      <c r="D35" s="14">
        <v>15</v>
      </c>
      <c r="E35" s="15">
        <v>20</v>
      </c>
      <c r="F35" s="14">
        <v>80</v>
      </c>
      <c r="G35" s="28">
        <v>37</v>
      </c>
      <c r="H35" s="136">
        <v>49.1</v>
      </c>
      <c r="I35" s="27">
        <v>80</v>
      </c>
      <c r="J35" s="28">
        <v>2900</v>
      </c>
      <c r="K35" s="38" t="s">
        <v>2750</v>
      </c>
      <c r="L35" s="39">
        <v>207</v>
      </c>
      <c r="M35" s="210">
        <v>0.23319999999999999</v>
      </c>
      <c r="N35" s="228"/>
      <c r="O35" s="229">
        <v>3581.067</v>
      </c>
    </row>
    <row r="36" spans="2:15" ht="18.75" thickBot="1">
      <c r="B36" s="206"/>
      <c r="C36" s="13" t="s">
        <v>2774</v>
      </c>
      <c r="D36" s="14">
        <v>18.5</v>
      </c>
      <c r="E36" s="15">
        <v>25</v>
      </c>
      <c r="F36" s="14">
        <v>80</v>
      </c>
      <c r="G36" s="28">
        <v>36</v>
      </c>
      <c r="H36" s="136">
        <v>47.5</v>
      </c>
      <c r="I36" s="27">
        <v>80</v>
      </c>
      <c r="J36" s="28">
        <v>2900</v>
      </c>
      <c r="K36" s="38" t="s">
        <v>2750</v>
      </c>
      <c r="L36" s="39">
        <v>227</v>
      </c>
      <c r="M36" s="210">
        <v>0.23813999999999999</v>
      </c>
      <c r="N36" s="228"/>
      <c r="O36" s="229">
        <v>4165.8330000000005</v>
      </c>
    </row>
    <row r="37" spans="2:15" ht="18.75" thickBot="1">
      <c r="B37" s="206"/>
      <c r="C37" s="13" t="s">
        <v>2775</v>
      </c>
      <c r="D37" s="14">
        <v>22</v>
      </c>
      <c r="E37" s="15">
        <v>30</v>
      </c>
      <c r="F37" s="14">
        <v>80</v>
      </c>
      <c r="G37" s="28">
        <v>39.200000000000003</v>
      </c>
      <c r="H37" s="136">
        <v>49.8</v>
      </c>
      <c r="I37" s="27">
        <v>80</v>
      </c>
      <c r="J37" s="28">
        <v>2900</v>
      </c>
      <c r="K37" s="38" t="s">
        <v>2750</v>
      </c>
      <c r="L37" s="39">
        <v>243</v>
      </c>
      <c r="M37" s="210">
        <v>0.30359999999999998</v>
      </c>
      <c r="N37" s="228"/>
      <c r="O37" s="229">
        <v>4312.2030000000004</v>
      </c>
    </row>
    <row r="38" spans="2:15" ht="18.75" thickBot="1">
      <c r="B38" s="206"/>
      <c r="C38" s="13" t="s">
        <v>2776</v>
      </c>
      <c r="D38" s="14">
        <v>3</v>
      </c>
      <c r="E38" s="15">
        <v>4</v>
      </c>
      <c r="F38" s="14">
        <v>45</v>
      </c>
      <c r="G38" s="28">
        <v>12</v>
      </c>
      <c r="H38" s="136">
        <v>24.9</v>
      </c>
      <c r="I38" s="27">
        <v>100</v>
      </c>
      <c r="J38" s="28">
        <v>2900</v>
      </c>
      <c r="K38" s="38" t="s">
        <v>2750</v>
      </c>
      <c r="L38" s="39">
        <v>51</v>
      </c>
      <c r="M38" s="210">
        <f>0.63*0.26*0.3</f>
        <v>4.9139999999999996E-2</v>
      </c>
      <c r="N38" s="228"/>
      <c r="O38" s="229">
        <v>797.89499999999998</v>
      </c>
    </row>
    <row r="39" spans="2:15" ht="18.75" thickBot="1">
      <c r="B39" s="206"/>
      <c r="C39" s="13" t="s">
        <v>2777</v>
      </c>
      <c r="D39" s="14">
        <v>4</v>
      </c>
      <c r="E39" s="15">
        <v>5.5</v>
      </c>
      <c r="F39" s="14">
        <v>45</v>
      </c>
      <c r="G39" s="28">
        <v>15.5</v>
      </c>
      <c r="H39" s="136">
        <v>25.3</v>
      </c>
      <c r="I39" s="27">
        <v>100</v>
      </c>
      <c r="J39" s="28">
        <v>2900</v>
      </c>
      <c r="K39" s="38" t="s">
        <v>2750</v>
      </c>
      <c r="L39" s="39">
        <v>58</v>
      </c>
      <c r="M39" s="210">
        <f>0.64*0.29*0.32</f>
        <v>5.9392E-2</v>
      </c>
      <c r="N39" s="228"/>
      <c r="O39" s="229">
        <v>868.22399999999993</v>
      </c>
    </row>
    <row r="40" spans="2:15" ht="18.75" thickBot="1">
      <c r="B40" s="206" t="s">
        <v>922</v>
      </c>
      <c r="C40" s="13" t="s">
        <v>2778</v>
      </c>
      <c r="D40" s="14">
        <v>5.5</v>
      </c>
      <c r="E40" s="15">
        <v>7.5</v>
      </c>
      <c r="F40" s="14">
        <v>70</v>
      </c>
      <c r="G40" s="28">
        <v>15</v>
      </c>
      <c r="H40" s="136">
        <v>31</v>
      </c>
      <c r="I40" s="27">
        <v>100</v>
      </c>
      <c r="J40" s="28">
        <v>2900</v>
      </c>
      <c r="K40" s="38" t="s">
        <v>2750</v>
      </c>
      <c r="L40" s="39">
        <v>69</v>
      </c>
      <c r="M40" s="210">
        <f>0.73*0.29*0.34</f>
        <v>7.1978E-2</v>
      </c>
      <c r="N40" s="228"/>
      <c r="O40" s="229">
        <v>1042.44</v>
      </c>
    </row>
    <row r="41" spans="2:15" ht="18.75" thickBot="1">
      <c r="B41" s="206" t="s">
        <v>924</v>
      </c>
      <c r="C41" s="13" t="s">
        <v>2779</v>
      </c>
      <c r="D41" s="14">
        <v>7.5</v>
      </c>
      <c r="E41" s="15">
        <v>10</v>
      </c>
      <c r="F41" s="14">
        <v>100</v>
      </c>
      <c r="G41" s="28">
        <v>15.2</v>
      </c>
      <c r="H41" s="136">
        <v>33.9</v>
      </c>
      <c r="I41" s="27">
        <v>100</v>
      </c>
      <c r="J41" s="28">
        <v>2900</v>
      </c>
      <c r="K41" s="38" t="s">
        <v>2750</v>
      </c>
      <c r="L41" s="39">
        <v>79</v>
      </c>
      <c r="M41" s="210">
        <f>0.73*0.31*0.35</f>
        <v>7.9204999999999998E-2</v>
      </c>
      <c r="N41" s="228"/>
      <c r="O41" s="229">
        <v>1153.8240000000001</v>
      </c>
    </row>
    <row r="42" spans="2:15" ht="18.75" thickBot="1">
      <c r="B42" s="206"/>
      <c r="C42" s="13" t="s">
        <v>2780</v>
      </c>
      <c r="D42" s="14">
        <v>11</v>
      </c>
      <c r="E42" s="15">
        <v>15</v>
      </c>
      <c r="F42" s="14">
        <v>100</v>
      </c>
      <c r="G42" s="28">
        <v>27</v>
      </c>
      <c r="H42" s="136">
        <v>40.1</v>
      </c>
      <c r="I42" s="27">
        <v>100</v>
      </c>
      <c r="J42" s="28">
        <v>2900</v>
      </c>
      <c r="K42" s="38" t="s">
        <v>2750</v>
      </c>
      <c r="L42" s="39">
        <v>197</v>
      </c>
      <c r="M42" s="210">
        <v>0.22387199999999999</v>
      </c>
      <c r="N42" s="228"/>
      <c r="O42" s="229">
        <v>3435.0540000000005</v>
      </c>
    </row>
    <row r="43" spans="2:15" ht="18.75" thickBot="1">
      <c r="B43" s="206"/>
      <c r="C43" s="13" t="s">
        <v>2781</v>
      </c>
      <c r="D43" s="14">
        <v>15</v>
      </c>
      <c r="E43" s="15">
        <v>20</v>
      </c>
      <c r="F43" s="14">
        <v>100</v>
      </c>
      <c r="G43" s="28">
        <v>33.5</v>
      </c>
      <c r="H43" s="136">
        <v>48.4</v>
      </c>
      <c r="I43" s="27">
        <v>100</v>
      </c>
      <c r="J43" s="28">
        <v>2900</v>
      </c>
      <c r="K43" s="38" t="s">
        <v>2750</v>
      </c>
      <c r="L43" s="39">
        <v>208</v>
      </c>
      <c r="M43" s="210">
        <v>0.23319999999999999</v>
      </c>
      <c r="N43" s="228"/>
      <c r="O43" s="229">
        <v>3581.067</v>
      </c>
    </row>
    <row r="44" spans="2:15" ht="18.75" thickBot="1">
      <c r="B44" s="206"/>
      <c r="C44" s="13" t="s">
        <v>2782</v>
      </c>
      <c r="D44" s="14">
        <v>18.5</v>
      </c>
      <c r="E44" s="15">
        <v>25</v>
      </c>
      <c r="F44" s="14">
        <v>160</v>
      </c>
      <c r="G44" s="28">
        <v>25.3</v>
      </c>
      <c r="H44" s="136">
        <v>46.2</v>
      </c>
      <c r="I44" s="27">
        <v>100</v>
      </c>
      <c r="J44" s="28">
        <v>2900</v>
      </c>
      <c r="K44" s="38" t="s">
        <v>2750</v>
      </c>
      <c r="L44" s="39">
        <v>229</v>
      </c>
      <c r="M44" s="210">
        <v>0.23813999999999999</v>
      </c>
      <c r="N44" s="228"/>
      <c r="O44" s="229">
        <v>4165.8330000000005</v>
      </c>
    </row>
    <row r="45" spans="2:15" ht="18.75" thickBot="1">
      <c r="B45" s="206"/>
      <c r="C45" s="13" t="s">
        <v>2783</v>
      </c>
      <c r="D45" s="14">
        <v>22</v>
      </c>
      <c r="E45" s="15">
        <v>30</v>
      </c>
      <c r="F45" s="14">
        <v>160</v>
      </c>
      <c r="G45" s="28">
        <v>31</v>
      </c>
      <c r="H45" s="136">
        <v>52</v>
      </c>
      <c r="I45" s="27">
        <v>100</v>
      </c>
      <c r="J45" s="28">
        <v>2900</v>
      </c>
      <c r="K45" s="38" t="s">
        <v>2750</v>
      </c>
      <c r="L45" s="39">
        <v>246</v>
      </c>
      <c r="M45" s="210">
        <v>0.30359999999999998</v>
      </c>
      <c r="N45" s="228"/>
      <c r="O45" s="229">
        <v>4312.2030000000004</v>
      </c>
    </row>
    <row r="46" spans="2:15" ht="18.75" thickBot="1">
      <c r="B46" s="206"/>
      <c r="C46" s="13" t="s">
        <v>2784</v>
      </c>
      <c r="D46" s="14">
        <v>7.5</v>
      </c>
      <c r="E46" s="15">
        <v>10</v>
      </c>
      <c r="F46" s="14">
        <v>100</v>
      </c>
      <c r="G46" s="28">
        <v>13</v>
      </c>
      <c r="H46" s="136">
        <v>32.200000000000003</v>
      </c>
      <c r="I46" s="27">
        <v>150</v>
      </c>
      <c r="J46" s="28">
        <v>2900</v>
      </c>
      <c r="K46" s="38" t="s">
        <v>2750</v>
      </c>
      <c r="L46" s="39">
        <v>85</v>
      </c>
      <c r="M46" s="210">
        <v>0.9</v>
      </c>
      <c r="N46" s="228"/>
      <c r="O46" s="229">
        <v>1206.6600000000001</v>
      </c>
    </row>
    <row r="47" spans="2:15" ht="18.75" thickBot="1">
      <c r="B47" s="206"/>
      <c r="C47" s="13" t="s">
        <v>2785</v>
      </c>
      <c r="D47" s="14">
        <v>11</v>
      </c>
      <c r="E47" s="15">
        <v>15</v>
      </c>
      <c r="F47" s="14">
        <v>120</v>
      </c>
      <c r="G47" s="28">
        <v>19</v>
      </c>
      <c r="H47" s="136">
        <v>29.9</v>
      </c>
      <c r="I47" s="27">
        <v>150</v>
      </c>
      <c r="J47" s="28">
        <v>2900</v>
      </c>
      <c r="K47" s="38" t="s">
        <v>2750</v>
      </c>
      <c r="L47" s="39">
        <v>202</v>
      </c>
      <c r="M47" s="210">
        <v>0.22387199999999999</v>
      </c>
      <c r="N47" s="228"/>
      <c r="O47" s="229">
        <v>3581.067</v>
      </c>
    </row>
    <row r="48" spans="2:15" ht="18.75" thickBot="1">
      <c r="B48" s="206"/>
      <c r="C48" s="13" t="s">
        <v>2786</v>
      </c>
      <c r="D48" s="14">
        <v>15</v>
      </c>
      <c r="E48" s="15">
        <v>20</v>
      </c>
      <c r="F48" s="14">
        <v>120</v>
      </c>
      <c r="G48" s="28">
        <v>23.8</v>
      </c>
      <c r="H48" s="136">
        <v>35.5</v>
      </c>
      <c r="I48" s="27">
        <v>150</v>
      </c>
      <c r="J48" s="28">
        <v>2900</v>
      </c>
      <c r="K48" s="38" t="s">
        <v>2750</v>
      </c>
      <c r="L48" s="39">
        <v>216</v>
      </c>
      <c r="M48" s="210">
        <v>0.23319999999999999</v>
      </c>
      <c r="N48" s="228"/>
      <c r="O48" s="229">
        <v>3727.7940000000003</v>
      </c>
    </row>
    <row r="49" spans="2:15" ht="18.75" thickBot="1">
      <c r="B49" s="206"/>
      <c r="C49" s="13" t="s">
        <v>2787</v>
      </c>
      <c r="D49" s="14">
        <v>18.5</v>
      </c>
      <c r="E49" s="15">
        <v>25</v>
      </c>
      <c r="F49" s="14">
        <v>160</v>
      </c>
      <c r="G49" s="28">
        <v>26</v>
      </c>
      <c r="H49" s="136">
        <v>41.1</v>
      </c>
      <c r="I49" s="27">
        <v>150</v>
      </c>
      <c r="J49" s="28">
        <v>2900</v>
      </c>
      <c r="K49" s="38" t="s">
        <v>2750</v>
      </c>
      <c r="L49" s="39">
        <v>233</v>
      </c>
      <c r="M49" s="210">
        <v>0.23813999999999999</v>
      </c>
      <c r="N49" s="228"/>
      <c r="O49" s="229">
        <v>4239.0180000000009</v>
      </c>
    </row>
    <row r="50" spans="2:15" ht="18.75" thickBot="1">
      <c r="B50" s="206"/>
      <c r="C50" s="13" t="s">
        <v>2788</v>
      </c>
      <c r="D50" s="14">
        <v>22</v>
      </c>
      <c r="E50" s="15">
        <v>30</v>
      </c>
      <c r="F50" s="14">
        <v>160</v>
      </c>
      <c r="G50" s="28">
        <v>34</v>
      </c>
      <c r="H50" s="136">
        <v>51</v>
      </c>
      <c r="I50" s="27">
        <v>150</v>
      </c>
      <c r="J50" s="28">
        <v>2900</v>
      </c>
      <c r="K50" s="38" t="s">
        <v>2750</v>
      </c>
      <c r="L50" s="39">
        <v>253</v>
      </c>
      <c r="M50" s="210">
        <v>0.30359999999999998</v>
      </c>
      <c r="N50" s="228"/>
      <c r="O50" s="229">
        <v>4385.3880000000008</v>
      </c>
    </row>
    <row r="51" spans="2:15" ht="18.75" thickBot="1">
      <c r="B51" s="206"/>
      <c r="C51" s="13" t="s">
        <v>2789</v>
      </c>
      <c r="D51" s="14">
        <v>11</v>
      </c>
      <c r="E51" s="15">
        <v>15</v>
      </c>
      <c r="F51" s="14">
        <v>160</v>
      </c>
      <c r="G51" s="28">
        <v>14</v>
      </c>
      <c r="H51" s="136">
        <v>29.4</v>
      </c>
      <c r="I51" s="27">
        <v>200</v>
      </c>
      <c r="J51" s="28">
        <v>2900</v>
      </c>
      <c r="K51" s="38" t="s">
        <v>2750</v>
      </c>
      <c r="L51" s="39">
        <v>211</v>
      </c>
      <c r="M51" s="210">
        <v>0.22387199999999999</v>
      </c>
      <c r="N51" s="228"/>
      <c r="O51" s="229">
        <v>3654.6090000000004</v>
      </c>
    </row>
    <row r="52" spans="2:15" ht="18.75" thickBot="1">
      <c r="B52" s="206"/>
      <c r="C52" s="13" t="s">
        <v>2790</v>
      </c>
      <c r="D52" s="14">
        <v>15</v>
      </c>
      <c r="E52" s="15">
        <v>20</v>
      </c>
      <c r="F52" s="14">
        <v>160</v>
      </c>
      <c r="G52" s="28">
        <v>22</v>
      </c>
      <c r="H52" s="136">
        <v>36</v>
      </c>
      <c r="I52" s="27">
        <v>200</v>
      </c>
      <c r="J52" s="28">
        <v>2900</v>
      </c>
      <c r="K52" s="38" t="s">
        <v>2750</v>
      </c>
      <c r="L52" s="39">
        <v>222</v>
      </c>
      <c r="M52" s="210">
        <v>0.23319999999999999</v>
      </c>
      <c r="N52" s="228"/>
      <c r="O52" s="229">
        <v>3800.9790000000003</v>
      </c>
    </row>
    <row r="53" spans="2:15" ht="18.75" thickBot="1">
      <c r="B53" s="206"/>
      <c r="C53" s="13" t="s">
        <v>2791</v>
      </c>
      <c r="D53" s="14">
        <v>18.5</v>
      </c>
      <c r="E53" s="15">
        <v>25</v>
      </c>
      <c r="F53" s="14">
        <v>200</v>
      </c>
      <c r="G53" s="28">
        <v>21.7</v>
      </c>
      <c r="H53" s="136">
        <v>44</v>
      </c>
      <c r="I53" s="27">
        <v>200</v>
      </c>
      <c r="J53" s="28">
        <v>2900</v>
      </c>
      <c r="K53" s="38" t="s">
        <v>2750</v>
      </c>
      <c r="L53" s="39">
        <v>244</v>
      </c>
      <c r="M53" s="210">
        <v>0.23813999999999999</v>
      </c>
      <c r="N53" s="228"/>
      <c r="O53" s="229">
        <v>4312.2030000000004</v>
      </c>
    </row>
    <row r="54" spans="2:15" ht="18.75" thickBot="1">
      <c r="B54" s="206"/>
      <c r="C54" s="13" t="s">
        <v>2792</v>
      </c>
      <c r="D54" s="14">
        <v>22</v>
      </c>
      <c r="E54" s="15">
        <v>30</v>
      </c>
      <c r="F54" s="14">
        <v>200</v>
      </c>
      <c r="G54" s="28">
        <v>26.5</v>
      </c>
      <c r="H54" s="136">
        <v>48.9</v>
      </c>
      <c r="I54" s="27">
        <v>200</v>
      </c>
      <c r="J54" s="28">
        <v>2900</v>
      </c>
      <c r="K54" s="38" t="s">
        <v>2750</v>
      </c>
      <c r="L54" s="39">
        <v>260</v>
      </c>
      <c r="M54" s="210">
        <v>0.30359999999999998</v>
      </c>
      <c r="N54" s="228"/>
      <c r="O54" s="229">
        <v>4531.4009999999998</v>
      </c>
    </row>
    <row r="55" spans="2:15" ht="18.75" thickBot="1">
      <c r="B55" s="206"/>
      <c r="C55" s="13" t="s">
        <v>2793</v>
      </c>
      <c r="D55" s="14">
        <v>11</v>
      </c>
      <c r="E55" s="15">
        <v>15</v>
      </c>
      <c r="F55" s="14">
        <v>60</v>
      </c>
      <c r="G55" s="28">
        <v>21.8</v>
      </c>
      <c r="H55" s="136">
        <v>26.6</v>
      </c>
      <c r="I55" s="27">
        <v>80</v>
      </c>
      <c r="J55" s="28">
        <v>1450</v>
      </c>
      <c r="K55" s="38" t="s">
        <v>2750</v>
      </c>
      <c r="L55" s="39">
        <v>290</v>
      </c>
      <c r="M55" s="210">
        <v>0.2405214</v>
      </c>
      <c r="N55" s="228"/>
      <c r="O55" s="229">
        <v>3927</v>
      </c>
    </row>
    <row r="56" spans="2:15" ht="18.75" thickBot="1">
      <c r="B56" s="206"/>
      <c r="C56" s="13" t="s">
        <v>2794</v>
      </c>
      <c r="D56" s="14">
        <v>15</v>
      </c>
      <c r="E56" s="15">
        <v>20</v>
      </c>
      <c r="F56" s="14">
        <v>80</v>
      </c>
      <c r="G56" s="28">
        <v>22.8</v>
      </c>
      <c r="H56" s="136">
        <v>30.1</v>
      </c>
      <c r="I56" s="27">
        <v>80</v>
      </c>
      <c r="J56" s="28">
        <v>1450</v>
      </c>
      <c r="K56" s="38" t="s">
        <v>2750</v>
      </c>
      <c r="L56" s="39">
        <v>308</v>
      </c>
      <c r="M56" s="210">
        <v>0.25004700000000002</v>
      </c>
      <c r="N56" s="228"/>
      <c r="O56" s="229">
        <v>4400.3819999999996</v>
      </c>
    </row>
    <row r="57" spans="2:15" ht="18.75" thickBot="1">
      <c r="B57" s="206" t="s">
        <v>925</v>
      </c>
      <c r="C57" s="13" t="s">
        <v>2795</v>
      </c>
      <c r="D57" s="14">
        <v>11</v>
      </c>
      <c r="E57" s="15">
        <v>15</v>
      </c>
      <c r="F57" s="14">
        <v>120</v>
      </c>
      <c r="G57" s="28">
        <v>18.7</v>
      </c>
      <c r="H57" s="136">
        <v>26.8</v>
      </c>
      <c r="I57" s="27">
        <v>100</v>
      </c>
      <c r="J57" s="28">
        <v>1450</v>
      </c>
      <c r="K57" s="38" t="s">
        <v>2750</v>
      </c>
      <c r="L57" s="39">
        <v>203</v>
      </c>
      <c r="M57" s="210">
        <f>0.96*0.53*0.44</f>
        <v>0.22387200000000002</v>
      </c>
      <c r="N57" s="228"/>
      <c r="O57" s="229">
        <v>3974.1240000000003</v>
      </c>
    </row>
    <row r="58" spans="2:15" ht="18.75" thickBot="1">
      <c r="B58" s="206" t="s">
        <v>927</v>
      </c>
      <c r="C58" s="13" t="s">
        <v>2796</v>
      </c>
      <c r="D58" s="14">
        <v>15</v>
      </c>
      <c r="E58" s="15">
        <v>20</v>
      </c>
      <c r="F58" s="14">
        <v>140</v>
      </c>
      <c r="G58" s="28">
        <v>20</v>
      </c>
      <c r="H58" s="136">
        <v>29.1</v>
      </c>
      <c r="I58" s="27">
        <v>100</v>
      </c>
      <c r="J58" s="28">
        <v>1450</v>
      </c>
      <c r="K58" s="38" t="s">
        <v>2750</v>
      </c>
      <c r="L58" s="39">
        <v>224</v>
      </c>
      <c r="M58" s="210">
        <f>1.01*0.53*0.44</f>
        <v>0.23553199999999999</v>
      </c>
      <c r="N58" s="228"/>
      <c r="O58" s="229">
        <v>4445.3639999999996</v>
      </c>
    </row>
    <row r="59" spans="2:15" ht="18.75" thickBot="1">
      <c r="B59" s="206"/>
      <c r="C59" s="13" t="s">
        <v>2797</v>
      </c>
      <c r="D59" s="14">
        <v>18.5</v>
      </c>
      <c r="E59" s="15">
        <v>25</v>
      </c>
      <c r="F59" s="14">
        <v>140</v>
      </c>
      <c r="G59" s="28">
        <v>23</v>
      </c>
      <c r="H59" s="136">
        <v>37.1</v>
      </c>
      <c r="I59" s="27">
        <v>100</v>
      </c>
      <c r="J59" s="28">
        <v>1450</v>
      </c>
      <c r="K59" s="38" t="s">
        <v>2750</v>
      </c>
      <c r="L59" s="39">
        <v>343</v>
      </c>
      <c r="M59" s="210">
        <v>0.33616800000000002</v>
      </c>
      <c r="N59" s="228"/>
      <c r="O59" s="229">
        <v>5687.01</v>
      </c>
    </row>
    <row r="60" spans="2:15" ht="18.75" thickBot="1">
      <c r="B60" s="206"/>
      <c r="C60" s="13" t="s">
        <v>2798</v>
      </c>
      <c r="D60" s="14">
        <v>22</v>
      </c>
      <c r="E60" s="15">
        <v>30</v>
      </c>
      <c r="F60" s="14">
        <v>150</v>
      </c>
      <c r="G60" s="28">
        <v>27.2</v>
      </c>
      <c r="H60" s="136">
        <v>44.2</v>
      </c>
      <c r="I60" s="27">
        <v>100</v>
      </c>
      <c r="J60" s="28">
        <v>1450</v>
      </c>
      <c r="K60" s="38" t="s">
        <v>2750</v>
      </c>
      <c r="L60" s="39">
        <v>361</v>
      </c>
      <c r="M60" s="210">
        <v>0.33616800000000002</v>
      </c>
      <c r="N60" s="228"/>
      <c r="O60" s="229">
        <v>5915.49</v>
      </c>
    </row>
    <row r="61" spans="2:15" ht="18.75" thickBot="1">
      <c r="B61" s="206" t="s">
        <v>926</v>
      </c>
      <c r="C61" s="13" t="s">
        <v>2799</v>
      </c>
      <c r="D61" s="14">
        <v>11</v>
      </c>
      <c r="E61" s="15">
        <v>15</v>
      </c>
      <c r="F61" s="14">
        <v>150</v>
      </c>
      <c r="G61" s="28">
        <v>14.4</v>
      </c>
      <c r="H61" s="136">
        <v>24.2</v>
      </c>
      <c r="I61" s="27">
        <v>150</v>
      </c>
      <c r="J61" s="28">
        <v>1450</v>
      </c>
      <c r="K61" s="38" t="s">
        <v>2750</v>
      </c>
      <c r="L61" s="39">
        <v>217</v>
      </c>
      <c r="M61" s="210">
        <f>1.01*0.52*0.43</f>
        <v>0.22583600000000001</v>
      </c>
      <c r="N61" s="228"/>
      <c r="O61" s="229">
        <v>4041.2400000000002</v>
      </c>
    </row>
    <row r="62" spans="2:15" ht="18.75" thickBot="1">
      <c r="B62" s="206" t="s">
        <v>928</v>
      </c>
      <c r="C62" s="13" t="s">
        <v>2800</v>
      </c>
      <c r="D62" s="14">
        <v>15</v>
      </c>
      <c r="E62" s="15">
        <v>20</v>
      </c>
      <c r="F62" s="14">
        <v>200</v>
      </c>
      <c r="G62" s="28">
        <v>16.7</v>
      </c>
      <c r="H62" s="136">
        <v>28.2</v>
      </c>
      <c r="I62" s="27">
        <v>150</v>
      </c>
      <c r="J62" s="28">
        <v>1450</v>
      </c>
      <c r="K62" s="38" t="s">
        <v>2750</v>
      </c>
      <c r="L62" s="39">
        <v>239</v>
      </c>
      <c r="M62" s="210">
        <f>1.05*0.53*0.44</f>
        <v>0.24486000000000005</v>
      </c>
      <c r="N62" s="228"/>
      <c r="O62" s="229">
        <v>4512.8369999999995</v>
      </c>
    </row>
    <row r="63" spans="2:15" ht="18.75" thickBot="1">
      <c r="B63" s="206" t="s">
        <v>929</v>
      </c>
      <c r="C63" s="13" t="s">
        <v>2801</v>
      </c>
      <c r="D63" s="14">
        <v>18.5</v>
      </c>
      <c r="E63" s="15">
        <v>25</v>
      </c>
      <c r="F63" s="14">
        <v>250</v>
      </c>
      <c r="G63" s="28">
        <v>17.399999999999999</v>
      </c>
      <c r="H63" s="136">
        <v>30.6</v>
      </c>
      <c r="I63" s="27">
        <v>150</v>
      </c>
      <c r="J63" s="28">
        <v>1450</v>
      </c>
      <c r="K63" s="38" t="s">
        <v>2750</v>
      </c>
      <c r="L63" s="39">
        <v>308</v>
      </c>
      <c r="M63" s="210">
        <f>1.17*0.6*0.45</f>
        <v>0.31590000000000001</v>
      </c>
      <c r="N63" s="228"/>
      <c r="O63" s="229">
        <v>5860.1549999999997</v>
      </c>
    </row>
    <row r="64" spans="2:15" ht="18.75" thickBot="1">
      <c r="B64" s="206" t="s">
        <v>931</v>
      </c>
      <c r="C64" s="13" t="s">
        <v>2802</v>
      </c>
      <c r="D64" s="14">
        <v>22</v>
      </c>
      <c r="E64" s="15">
        <v>30</v>
      </c>
      <c r="F64" s="14">
        <v>250</v>
      </c>
      <c r="G64" s="28">
        <v>23</v>
      </c>
      <c r="H64" s="136">
        <v>35.6</v>
      </c>
      <c r="I64" s="27">
        <v>150</v>
      </c>
      <c r="J64" s="28">
        <v>1450</v>
      </c>
      <c r="K64" s="38" t="s">
        <v>2750</v>
      </c>
      <c r="L64" s="39">
        <v>334</v>
      </c>
      <c r="M64" s="210">
        <f>1.3*0.6*0.5</f>
        <v>0.39</v>
      </c>
      <c r="N64" s="228"/>
      <c r="O64" s="229">
        <v>6062.2169999999996</v>
      </c>
    </row>
    <row r="65" spans="2:19" ht="18.75" thickBot="1">
      <c r="B65" s="206"/>
      <c r="C65" s="13" t="s">
        <v>2803</v>
      </c>
      <c r="D65" s="14">
        <v>30</v>
      </c>
      <c r="E65" s="15">
        <v>40</v>
      </c>
      <c r="F65" s="14">
        <v>300</v>
      </c>
      <c r="G65" s="28">
        <v>18</v>
      </c>
      <c r="H65" s="136">
        <v>29.2</v>
      </c>
      <c r="I65" s="27">
        <v>150</v>
      </c>
      <c r="J65" s="28">
        <v>1450</v>
      </c>
      <c r="K65" s="38" t="s">
        <v>2750</v>
      </c>
      <c r="L65" s="39">
        <v>494</v>
      </c>
      <c r="M65" s="210">
        <v>0.50675625000000002</v>
      </c>
      <c r="N65" s="228"/>
      <c r="O65" s="229">
        <v>8794.6949999999997</v>
      </c>
      <c r="R65" s="198"/>
      <c r="S65" s="198"/>
    </row>
    <row r="66" spans="2:19" ht="18.75" thickBot="1">
      <c r="B66" s="206"/>
      <c r="C66" s="13" t="s">
        <v>2804</v>
      </c>
      <c r="D66" s="14">
        <v>37</v>
      </c>
      <c r="E66" s="15">
        <v>50</v>
      </c>
      <c r="F66" s="14">
        <v>300</v>
      </c>
      <c r="G66" s="28">
        <v>20.399999999999999</v>
      </c>
      <c r="H66" s="136">
        <v>31.2</v>
      </c>
      <c r="I66" s="27">
        <v>150</v>
      </c>
      <c r="J66" s="28">
        <v>1450</v>
      </c>
      <c r="K66" s="38" t="s">
        <v>2750</v>
      </c>
      <c r="L66" s="39">
        <v>551</v>
      </c>
      <c r="M66" s="210">
        <v>0.60360300000000011</v>
      </c>
      <c r="N66" s="228"/>
      <c r="O66" s="211" t="s">
        <v>1260</v>
      </c>
      <c r="R66" s="198"/>
      <c r="S66" s="230"/>
    </row>
    <row r="67" spans="2:19" ht="18.75" thickBot="1">
      <c r="B67" s="206"/>
      <c r="C67" s="13" t="s">
        <v>2805</v>
      </c>
      <c r="D67" s="14">
        <v>45</v>
      </c>
      <c r="E67" s="15">
        <v>60</v>
      </c>
      <c r="F67" s="14">
        <v>400</v>
      </c>
      <c r="G67" s="28">
        <v>20.2</v>
      </c>
      <c r="H67" s="136">
        <v>34.299999999999997</v>
      </c>
      <c r="I67" s="27">
        <v>150</v>
      </c>
      <c r="J67" s="28">
        <v>1450</v>
      </c>
      <c r="K67" s="38" t="s">
        <v>2750</v>
      </c>
      <c r="L67" s="39">
        <v>605</v>
      </c>
      <c r="M67" s="210">
        <v>0.81268320000000005</v>
      </c>
      <c r="N67" s="228"/>
      <c r="O67" s="211" t="s">
        <v>1260</v>
      </c>
      <c r="R67" s="198"/>
      <c r="S67" s="230"/>
    </row>
    <row r="68" spans="2:19" ht="18.75" thickBot="1">
      <c r="B68" s="206" t="s">
        <v>930</v>
      </c>
      <c r="C68" s="13" t="s">
        <v>2806</v>
      </c>
      <c r="D68" s="14">
        <v>18.5</v>
      </c>
      <c r="E68" s="15">
        <v>25</v>
      </c>
      <c r="F68" s="14">
        <v>250</v>
      </c>
      <c r="G68" s="28">
        <v>15.5</v>
      </c>
      <c r="H68" s="136">
        <v>28.5</v>
      </c>
      <c r="I68" s="27">
        <v>200</v>
      </c>
      <c r="J68" s="28">
        <v>1450</v>
      </c>
      <c r="K68" s="38" t="s">
        <v>2750</v>
      </c>
      <c r="L68" s="39">
        <v>317</v>
      </c>
      <c r="M68" s="210">
        <f>1.22*0.6*0.45</f>
        <v>0.32940000000000003</v>
      </c>
      <c r="N68" s="228"/>
      <c r="O68" s="229">
        <v>5994.7439999999997</v>
      </c>
      <c r="R68" s="198"/>
      <c r="S68" s="198"/>
    </row>
    <row r="69" spans="2:19" ht="18.75" thickBot="1">
      <c r="B69" s="206" t="s">
        <v>932</v>
      </c>
      <c r="C69" s="13" t="s">
        <v>2807</v>
      </c>
      <c r="D69" s="14">
        <v>22</v>
      </c>
      <c r="E69" s="15">
        <v>30</v>
      </c>
      <c r="F69" s="14">
        <v>250</v>
      </c>
      <c r="G69" s="28">
        <v>18.5</v>
      </c>
      <c r="H69" s="136">
        <v>32.700000000000003</v>
      </c>
      <c r="I69" s="27">
        <v>200</v>
      </c>
      <c r="J69" s="28">
        <v>1450</v>
      </c>
      <c r="K69" s="38" t="s">
        <v>2750</v>
      </c>
      <c r="L69" s="39">
        <v>352</v>
      </c>
      <c r="M69" s="210">
        <f>1.35*0.6*0.5</f>
        <v>0.40500000000000003</v>
      </c>
      <c r="N69" s="228"/>
      <c r="O69" s="229">
        <v>6196.8060000000005</v>
      </c>
      <c r="R69" s="198"/>
      <c r="S69" s="198"/>
    </row>
    <row r="70" spans="2:19" ht="18.75" thickBot="1">
      <c r="B70" s="206" t="s">
        <v>933</v>
      </c>
      <c r="C70" s="13" t="s">
        <v>2808</v>
      </c>
      <c r="D70" s="14">
        <v>30</v>
      </c>
      <c r="E70" s="15">
        <v>40</v>
      </c>
      <c r="F70" s="14">
        <v>400</v>
      </c>
      <c r="G70" s="28">
        <v>16.7</v>
      </c>
      <c r="H70" s="136">
        <v>28.6</v>
      </c>
      <c r="I70" s="27">
        <v>200</v>
      </c>
      <c r="J70" s="28">
        <v>1450</v>
      </c>
      <c r="K70" s="38" t="s">
        <v>2750</v>
      </c>
      <c r="L70" s="39">
        <v>487</v>
      </c>
      <c r="M70" s="210">
        <f>1.4*0.6*0.8</f>
        <v>0.67200000000000004</v>
      </c>
      <c r="N70" s="228"/>
      <c r="O70" s="229">
        <v>8958.2010000000009</v>
      </c>
      <c r="R70" s="198"/>
      <c r="S70" s="198"/>
    </row>
    <row r="71" spans="2:19" ht="18.75" thickBot="1">
      <c r="B71" s="206"/>
      <c r="C71" s="13" t="s">
        <v>2809</v>
      </c>
      <c r="D71" s="14">
        <v>37</v>
      </c>
      <c r="E71" s="15">
        <v>50</v>
      </c>
      <c r="F71" s="14">
        <v>350</v>
      </c>
      <c r="G71" s="28">
        <v>18.7</v>
      </c>
      <c r="H71" s="136">
        <v>31.2</v>
      </c>
      <c r="I71" s="27">
        <v>200</v>
      </c>
      <c r="J71" s="28">
        <v>1450</v>
      </c>
      <c r="K71" s="38" t="s">
        <v>2750</v>
      </c>
      <c r="L71" s="39">
        <v>567</v>
      </c>
      <c r="M71" s="210">
        <v>0.60360300000000011</v>
      </c>
      <c r="N71" s="228"/>
      <c r="O71" s="211" t="s">
        <v>1260</v>
      </c>
      <c r="R71" s="198"/>
      <c r="S71" s="230"/>
    </row>
    <row r="72" spans="2:19" ht="18.75" thickBot="1">
      <c r="B72" s="206"/>
      <c r="C72" s="13" t="s">
        <v>2810</v>
      </c>
      <c r="D72" s="14">
        <v>45</v>
      </c>
      <c r="E72" s="15">
        <v>60</v>
      </c>
      <c r="F72" s="14">
        <v>400</v>
      </c>
      <c r="G72" s="28">
        <v>21.6</v>
      </c>
      <c r="H72" s="136">
        <v>35</v>
      </c>
      <c r="I72" s="27">
        <v>200</v>
      </c>
      <c r="J72" s="28">
        <v>1450</v>
      </c>
      <c r="K72" s="38" t="s">
        <v>2750</v>
      </c>
      <c r="L72" s="39">
        <v>622</v>
      </c>
      <c r="M72" s="210">
        <v>0.81268320000000005</v>
      </c>
      <c r="N72" s="228"/>
      <c r="O72" s="211" t="s">
        <v>1260</v>
      </c>
      <c r="R72" s="198"/>
      <c r="S72" s="230"/>
    </row>
    <row r="73" spans="2:19" ht="18.75" thickBot="1">
      <c r="B73" s="206"/>
      <c r="C73" s="13" t="s">
        <v>2811</v>
      </c>
      <c r="D73" s="14">
        <v>55</v>
      </c>
      <c r="E73" s="15">
        <v>75</v>
      </c>
      <c r="F73" s="14">
        <v>500</v>
      </c>
      <c r="G73" s="28">
        <v>29.1</v>
      </c>
      <c r="H73" s="136">
        <v>43.6</v>
      </c>
      <c r="I73" s="27">
        <v>200</v>
      </c>
      <c r="J73" s="28">
        <v>1450</v>
      </c>
      <c r="K73" s="38" t="s">
        <v>2750</v>
      </c>
      <c r="L73" s="39">
        <v>888</v>
      </c>
      <c r="M73" s="210">
        <v>0.98710500000000012</v>
      </c>
      <c r="N73" s="228"/>
      <c r="O73" s="211" t="s">
        <v>1260</v>
      </c>
      <c r="R73" s="198"/>
      <c r="S73" s="230"/>
    </row>
    <row r="74" spans="2:19" ht="18.75" thickBot="1">
      <c r="B74" s="206"/>
      <c r="C74" s="13" t="s">
        <v>2812</v>
      </c>
      <c r="D74" s="14">
        <v>75</v>
      </c>
      <c r="E74" s="15">
        <v>100</v>
      </c>
      <c r="F74" s="14">
        <v>500</v>
      </c>
      <c r="G74" s="28">
        <v>34.4</v>
      </c>
      <c r="H74" s="136">
        <v>48.5</v>
      </c>
      <c r="I74" s="27">
        <v>200</v>
      </c>
      <c r="J74" s="28">
        <v>1450</v>
      </c>
      <c r="K74" s="38" t="s">
        <v>2750</v>
      </c>
      <c r="L74" s="39">
        <v>1091</v>
      </c>
      <c r="M74" s="210">
        <v>1.0393635000000001</v>
      </c>
      <c r="N74" s="228"/>
      <c r="O74" s="211" t="s">
        <v>1260</v>
      </c>
      <c r="R74" s="198"/>
      <c r="S74" s="230"/>
    </row>
    <row r="75" spans="2:19" ht="18.75" thickBot="1">
      <c r="B75" s="206"/>
      <c r="C75" s="13" t="s">
        <v>2813</v>
      </c>
      <c r="D75" s="14">
        <v>90</v>
      </c>
      <c r="E75" s="15">
        <v>125</v>
      </c>
      <c r="F75" s="14">
        <v>500</v>
      </c>
      <c r="G75" s="28">
        <v>41.5</v>
      </c>
      <c r="H75" s="136">
        <v>54.9</v>
      </c>
      <c r="I75" s="27">
        <v>200</v>
      </c>
      <c r="J75" s="28">
        <v>1450</v>
      </c>
      <c r="K75" s="38" t="s">
        <v>2750</v>
      </c>
      <c r="L75" s="39">
        <v>1262</v>
      </c>
      <c r="M75" s="210">
        <v>1.5225</v>
      </c>
      <c r="N75" s="228"/>
      <c r="O75" s="211" t="s">
        <v>1260</v>
      </c>
      <c r="R75" s="198"/>
      <c r="S75" s="230"/>
    </row>
    <row r="76" spans="2:19" ht="18.75" thickBot="1">
      <c r="B76" s="206" t="s">
        <v>934</v>
      </c>
      <c r="C76" s="13" t="s">
        <v>2814</v>
      </c>
      <c r="D76" s="14">
        <v>30</v>
      </c>
      <c r="E76" s="15">
        <v>40</v>
      </c>
      <c r="F76" s="14">
        <v>600</v>
      </c>
      <c r="G76" s="28">
        <v>10.7</v>
      </c>
      <c r="H76" s="136">
        <v>32.200000000000003</v>
      </c>
      <c r="I76" s="27">
        <v>250</v>
      </c>
      <c r="J76" s="28">
        <v>1450</v>
      </c>
      <c r="K76" s="38" t="s">
        <v>2750</v>
      </c>
      <c r="L76" s="39">
        <v>491</v>
      </c>
      <c r="M76" s="210">
        <f>1.45*0.63*0.8</f>
        <v>0.73080000000000001</v>
      </c>
      <c r="N76" s="228"/>
      <c r="O76" s="229">
        <v>9160.6200000000008</v>
      </c>
      <c r="R76" s="198"/>
      <c r="S76" s="198"/>
    </row>
    <row r="77" spans="2:19" ht="18.75" thickBot="1">
      <c r="B77" s="206"/>
      <c r="C77" s="13" t="s">
        <v>2815</v>
      </c>
      <c r="D77" s="14">
        <v>37</v>
      </c>
      <c r="E77" s="15">
        <v>50</v>
      </c>
      <c r="F77" s="14">
        <v>600</v>
      </c>
      <c r="G77" s="28">
        <v>12.5</v>
      </c>
      <c r="H77" s="136">
        <v>34.5</v>
      </c>
      <c r="I77" s="27">
        <v>250</v>
      </c>
      <c r="J77" s="28">
        <v>1450</v>
      </c>
      <c r="K77" s="38" t="s">
        <v>2750</v>
      </c>
      <c r="L77" s="39">
        <v>590</v>
      </c>
      <c r="M77" s="210">
        <v>0.60360300000000011</v>
      </c>
      <c r="N77" s="228"/>
      <c r="O77" s="211" t="s">
        <v>1260</v>
      </c>
      <c r="R77" s="198"/>
      <c r="S77" s="230"/>
    </row>
    <row r="78" spans="2:19" ht="18.75" thickBot="1">
      <c r="B78" s="206"/>
      <c r="C78" s="13" t="s">
        <v>2816</v>
      </c>
      <c r="D78" s="14">
        <v>45</v>
      </c>
      <c r="E78" s="15">
        <v>60</v>
      </c>
      <c r="F78" s="14">
        <v>600</v>
      </c>
      <c r="G78" s="28">
        <v>14.4</v>
      </c>
      <c r="H78" s="136">
        <v>36.799999999999997</v>
      </c>
      <c r="I78" s="27">
        <v>250</v>
      </c>
      <c r="J78" s="28">
        <v>1450</v>
      </c>
      <c r="K78" s="38" t="s">
        <v>2750</v>
      </c>
      <c r="L78" s="39">
        <v>653</v>
      </c>
      <c r="M78" s="210">
        <v>0.81268320000000005</v>
      </c>
      <c r="N78" s="228"/>
      <c r="O78" s="211" t="s">
        <v>1260</v>
      </c>
      <c r="R78" s="198"/>
      <c r="S78" s="230"/>
    </row>
    <row r="79" spans="2:19" ht="18.75" thickBot="1">
      <c r="B79" s="206"/>
      <c r="C79" s="13" t="s">
        <v>2817</v>
      </c>
      <c r="D79" s="14">
        <v>55</v>
      </c>
      <c r="E79" s="15">
        <v>75</v>
      </c>
      <c r="F79" s="14">
        <v>600</v>
      </c>
      <c r="G79" s="28">
        <v>25.5</v>
      </c>
      <c r="H79" s="136">
        <v>41.5</v>
      </c>
      <c r="I79" s="27">
        <v>250</v>
      </c>
      <c r="J79" s="28">
        <v>1450</v>
      </c>
      <c r="K79" s="38" t="s">
        <v>2750</v>
      </c>
      <c r="L79" s="39">
        <v>899</v>
      </c>
      <c r="M79" s="210">
        <v>0.98710500000000012</v>
      </c>
      <c r="N79" s="228"/>
      <c r="O79" s="211" t="s">
        <v>1260</v>
      </c>
      <c r="R79" s="198"/>
      <c r="S79" s="230"/>
    </row>
    <row r="80" spans="2:19" ht="18.75" thickBot="1">
      <c r="B80" s="206"/>
      <c r="C80" s="13" t="s">
        <v>2818</v>
      </c>
      <c r="D80" s="14">
        <v>75</v>
      </c>
      <c r="E80" s="15">
        <v>100</v>
      </c>
      <c r="F80" s="14">
        <v>600</v>
      </c>
      <c r="G80" s="28">
        <v>31</v>
      </c>
      <c r="H80" s="136">
        <v>46.2</v>
      </c>
      <c r="I80" s="27">
        <v>250</v>
      </c>
      <c r="J80" s="28">
        <v>1450</v>
      </c>
      <c r="K80" s="38" t="s">
        <v>2750</v>
      </c>
      <c r="L80" s="39">
        <v>1101</v>
      </c>
      <c r="M80" s="210">
        <v>1.0393635000000001</v>
      </c>
      <c r="N80" s="228"/>
      <c r="O80" s="211" t="s">
        <v>1260</v>
      </c>
      <c r="R80" s="198"/>
      <c r="S80" s="230"/>
    </row>
    <row r="81" spans="2:19" ht="18.75" thickBot="1">
      <c r="B81" s="206"/>
      <c r="C81" s="13" t="s">
        <v>2819</v>
      </c>
      <c r="D81" s="14">
        <v>90</v>
      </c>
      <c r="E81" s="15">
        <v>125</v>
      </c>
      <c r="F81" s="14">
        <v>700</v>
      </c>
      <c r="G81" s="28">
        <v>35</v>
      </c>
      <c r="H81" s="136">
        <v>52.2</v>
      </c>
      <c r="I81" s="27">
        <v>250</v>
      </c>
      <c r="J81" s="28">
        <v>1450</v>
      </c>
      <c r="K81" s="38" t="s">
        <v>2750</v>
      </c>
      <c r="L81" s="39">
        <v>1304</v>
      </c>
      <c r="M81" s="210">
        <v>1.5225</v>
      </c>
      <c r="N81" s="228"/>
      <c r="O81" s="211" t="s">
        <v>1260</v>
      </c>
      <c r="R81" s="198"/>
      <c r="S81" s="230"/>
    </row>
    <row r="82" spans="2:19" ht="18.75" thickBot="1">
      <c r="B82" s="206"/>
      <c r="C82" s="13" t="s">
        <v>2820</v>
      </c>
      <c r="D82" s="14">
        <v>30</v>
      </c>
      <c r="E82" s="15">
        <v>40</v>
      </c>
      <c r="F82" s="14">
        <v>500</v>
      </c>
      <c r="G82" s="28">
        <v>12</v>
      </c>
      <c r="H82" s="136">
        <v>28.7</v>
      </c>
      <c r="I82" s="27">
        <v>300</v>
      </c>
      <c r="J82" s="28">
        <v>1450</v>
      </c>
      <c r="K82" s="38" t="s">
        <v>2750</v>
      </c>
      <c r="L82" s="39">
        <v>545</v>
      </c>
      <c r="M82" s="210">
        <v>0.59094000000000002</v>
      </c>
      <c r="N82" s="228"/>
      <c r="O82" s="229">
        <v>9385.1730000000007</v>
      </c>
      <c r="R82" s="198"/>
      <c r="S82" s="198"/>
    </row>
    <row r="83" spans="2:19" ht="18.75" thickBot="1">
      <c r="B83" s="206"/>
      <c r="C83" s="13" t="s">
        <v>2821</v>
      </c>
      <c r="D83" s="14">
        <v>37</v>
      </c>
      <c r="E83" s="15">
        <v>50</v>
      </c>
      <c r="F83" s="14">
        <v>500</v>
      </c>
      <c r="G83" s="28">
        <v>15</v>
      </c>
      <c r="H83" s="136">
        <v>33.799999999999997</v>
      </c>
      <c r="I83" s="27">
        <v>300</v>
      </c>
      <c r="J83" s="28">
        <v>1450</v>
      </c>
      <c r="K83" s="38" t="s">
        <v>2750</v>
      </c>
      <c r="L83" s="39">
        <v>599</v>
      </c>
      <c r="M83" s="210">
        <v>0.60360300000000011</v>
      </c>
      <c r="N83" s="228"/>
      <c r="O83" s="211" t="s">
        <v>1260</v>
      </c>
      <c r="R83" s="198"/>
      <c r="S83" s="230"/>
    </row>
    <row r="84" spans="2:19" ht="18.75" thickBot="1">
      <c r="B84" s="206"/>
      <c r="C84" s="13" t="s">
        <v>2822</v>
      </c>
      <c r="D84" s="14">
        <v>45</v>
      </c>
      <c r="E84" s="15">
        <v>60</v>
      </c>
      <c r="F84" s="14">
        <v>500</v>
      </c>
      <c r="G84" s="28">
        <v>17</v>
      </c>
      <c r="H84" s="136">
        <v>38.9</v>
      </c>
      <c r="I84" s="27">
        <v>300</v>
      </c>
      <c r="J84" s="28">
        <v>1450</v>
      </c>
      <c r="K84" s="38" t="s">
        <v>2750</v>
      </c>
      <c r="L84" s="39">
        <v>664</v>
      </c>
      <c r="M84" s="210">
        <v>0.81268320000000005</v>
      </c>
      <c r="N84" s="228"/>
      <c r="O84" s="211" t="s">
        <v>1260</v>
      </c>
      <c r="R84" s="198"/>
      <c r="S84" s="230"/>
    </row>
    <row r="85" spans="2:19" ht="18.75" thickBot="1">
      <c r="B85" s="206"/>
      <c r="C85" s="13" t="s">
        <v>2823</v>
      </c>
      <c r="D85" s="14">
        <v>55</v>
      </c>
      <c r="E85" s="15">
        <v>75</v>
      </c>
      <c r="F85" s="14">
        <v>600</v>
      </c>
      <c r="G85" s="28">
        <v>25</v>
      </c>
      <c r="H85" s="136">
        <v>39.6</v>
      </c>
      <c r="I85" s="27">
        <v>300</v>
      </c>
      <c r="J85" s="28">
        <v>1450</v>
      </c>
      <c r="K85" s="38" t="s">
        <v>2750</v>
      </c>
      <c r="L85" s="39">
        <v>909</v>
      </c>
      <c r="M85" s="210">
        <v>0.98710500000000012</v>
      </c>
      <c r="N85" s="228"/>
      <c r="O85" s="211" t="s">
        <v>1260</v>
      </c>
      <c r="R85" s="198"/>
      <c r="S85" s="230"/>
    </row>
    <row r="86" spans="2:19" ht="18.75" thickBot="1">
      <c r="B86" s="206"/>
      <c r="C86" s="13" t="s">
        <v>2824</v>
      </c>
      <c r="D86" s="14">
        <v>75</v>
      </c>
      <c r="E86" s="15">
        <v>100</v>
      </c>
      <c r="F86" s="14">
        <v>600</v>
      </c>
      <c r="G86" s="28">
        <v>30</v>
      </c>
      <c r="H86" s="136">
        <v>44.1</v>
      </c>
      <c r="I86" s="27">
        <v>300</v>
      </c>
      <c r="J86" s="28">
        <v>1450</v>
      </c>
      <c r="K86" s="38" t="s">
        <v>2750</v>
      </c>
      <c r="L86" s="39">
        <v>1112</v>
      </c>
      <c r="M86" s="210">
        <v>1.0393635000000001</v>
      </c>
      <c r="N86" s="228"/>
      <c r="O86" s="211" t="s">
        <v>1260</v>
      </c>
      <c r="R86" s="198"/>
      <c r="S86" s="230"/>
    </row>
    <row r="87" spans="2:19" ht="18.75" thickBot="1">
      <c r="B87" s="206"/>
      <c r="C87" s="13" t="s">
        <v>2825</v>
      </c>
      <c r="D87" s="14">
        <v>90</v>
      </c>
      <c r="E87" s="15">
        <v>125</v>
      </c>
      <c r="F87" s="14">
        <v>700</v>
      </c>
      <c r="G87" s="28">
        <v>34.1</v>
      </c>
      <c r="H87" s="136">
        <v>49.9</v>
      </c>
      <c r="I87" s="27">
        <v>300</v>
      </c>
      <c r="J87" s="28">
        <v>1450</v>
      </c>
      <c r="K87" s="38" t="s">
        <v>2750</v>
      </c>
      <c r="L87" s="39">
        <v>1336</v>
      </c>
      <c r="M87" s="210">
        <v>1.5225</v>
      </c>
      <c r="N87" s="228"/>
      <c r="O87" s="211" t="s">
        <v>1260</v>
      </c>
      <c r="R87" s="198"/>
      <c r="S87" s="230"/>
    </row>
    <row r="88" spans="2:19" ht="23.25" thickBot="1">
      <c r="C88" s="63"/>
      <c r="D88" s="63"/>
      <c r="E88" s="63"/>
      <c r="F88" s="63"/>
      <c r="G88" s="63"/>
      <c r="H88" s="63"/>
      <c r="I88" s="63"/>
      <c r="J88" s="1"/>
      <c r="K88" s="63"/>
      <c r="L88" s="1"/>
      <c r="M88" s="1"/>
      <c r="N88" s="63"/>
      <c r="O88" s="63"/>
      <c r="R88" s="198"/>
      <c r="S88" s="198"/>
    </row>
    <row r="89" spans="2:19" ht="15">
      <c r="B89" s="44" t="s">
        <v>1375</v>
      </c>
      <c r="C89" s="45" t="s">
        <v>1515</v>
      </c>
      <c r="D89" s="46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</row>
    <row r="90" spans="2:19" ht="15">
      <c r="B90" s="47" t="s">
        <v>1374</v>
      </c>
      <c r="C90" s="48" t="s">
        <v>1384</v>
      </c>
      <c r="D90" s="49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</row>
    <row r="91" spans="2:19" ht="15">
      <c r="B91" s="47" t="s">
        <v>1385</v>
      </c>
      <c r="C91" s="48" t="s">
        <v>2720</v>
      </c>
      <c r="D91" s="49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</row>
    <row r="92" spans="2:19" ht="15">
      <c r="B92" s="47" t="s">
        <v>2723</v>
      </c>
      <c r="C92" s="48" t="s">
        <v>2721</v>
      </c>
      <c r="D92" s="49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</row>
    <row r="93" spans="2:19" ht="15">
      <c r="B93" s="60" t="s">
        <v>2724</v>
      </c>
      <c r="C93" s="56" t="s">
        <v>2719</v>
      </c>
      <c r="D93" s="57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</row>
  </sheetData>
  <mergeCells count="8">
    <mergeCell ref="B7:O7"/>
    <mergeCell ref="C2:N3"/>
    <mergeCell ref="C9:C10"/>
    <mergeCell ref="D9:E10"/>
    <mergeCell ref="F9:H9"/>
    <mergeCell ref="N9:O9"/>
    <mergeCell ref="N10:O10"/>
    <mergeCell ref="B9:B1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>
    <tabColor theme="9" tint="0.39997558519241921"/>
  </sheetPr>
  <dimension ref="B1:N278"/>
  <sheetViews>
    <sheetView zoomScale="85" zoomScaleNormal="85" workbookViewId="0"/>
  </sheetViews>
  <sheetFormatPr defaultRowHeight="14.25"/>
  <cols>
    <col min="1" max="1" width="36.125" customWidth="1"/>
    <col min="2" max="2" width="30.125" customWidth="1"/>
    <col min="3" max="3" width="11.875" customWidth="1"/>
    <col min="9" max="9" width="13.125" customWidth="1"/>
    <col min="11" max="11" width="10" customWidth="1"/>
    <col min="12" max="12" width="17.5" customWidth="1"/>
    <col min="13" max="13" width="15.5" customWidth="1"/>
    <col min="14" max="14" width="16.75" customWidth="1"/>
  </cols>
  <sheetData>
    <row r="1" spans="2:13">
      <c r="B1" s="288" t="s">
        <v>2980</v>
      </c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</row>
    <row r="2" spans="2:13" ht="60.75" customHeight="1"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</row>
    <row r="3" spans="2:13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2:13"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2:13"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2:13" ht="25.5">
      <c r="B6" s="53" t="s">
        <v>937</v>
      </c>
      <c r="C6" s="6"/>
      <c r="D6" s="6"/>
      <c r="E6" s="6"/>
      <c r="F6" s="6"/>
      <c r="G6" s="6"/>
      <c r="H6" s="17"/>
      <c r="I6" s="6"/>
      <c r="J6" s="29"/>
      <c r="K6" s="29"/>
      <c r="L6" s="6"/>
      <c r="M6" s="6"/>
    </row>
    <row r="7" spans="2:13" ht="23.25" thickBot="1">
      <c r="B7" s="8"/>
      <c r="C7" s="8"/>
      <c r="D7" s="8"/>
      <c r="E7" s="8"/>
      <c r="F7" s="8"/>
      <c r="G7" s="8"/>
      <c r="H7" s="1"/>
      <c r="I7" s="8"/>
      <c r="J7" s="1"/>
      <c r="K7" s="1"/>
      <c r="L7" s="8"/>
      <c r="M7" s="8"/>
    </row>
    <row r="8" spans="2:13">
      <c r="B8" s="253" t="s">
        <v>0</v>
      </c>
      <c r="C8" s="255" t="s">
        <v>1</v>
      </c>
      <c r="D8" s="253"/>
      <c r="E8" s="265" t="s">
        <v>2</v>
      </c>
      <c r="F8" s="265"/>
      <c r="G8" s="18" t="s">
        <v>3</v>
      </c>
      <c r="H8" s="19" t="s">
        <v>4</v>
      </c>
      <c r="I8" s="30" t="s">
        <v>5</v>
      </c>
      <c r="J8" s="31" t="s">
        <v>6</v>
      </c>
      <c r="K8" s="31" t="s">
        <v>7</v>
      </c>
      <c r="L8" s="259" t="s">
        <v>8</v>
      </c>
      <c r="M8" s="290"/>
    </row>
    <row r="9" spans="2:13" ht="15">
      <c r="B9" s="254"/>
      <c r="C9" s="256"/>
      <c r="D9" s="254"/>
      <c r="E9" s="20" t="s">
        <v>9</v>
      </c>
      <c r="F9" s="10" t="s">
        <v>10</v>
      </c>
      <c r="G9" s="21"/>
      <c r="H9" s="22"/>
      <c r="I9" s="32"/>
      <c r="J9" s="33"/>
      <c r="K9" s="33"/>
      <c r="L9" s="260" t="s">
        <v>11</v>
      </c>
      <c r="M9" s="298"/>
    </row>
    <row r="10" spans="2:13" ht="15.75" thickBot="1">
      <c r="B10" s="11"/>
      <c r="C10" s="12" t="s">
        <v>12</v>
      </c>
      <c r="D10" s="11" t="s">
        <v>13</v>
      </c>
      <c r="E10" s="23" t="s">
        <v>14</v>
      </c>
      <c r="F10" s="24" t="s">
        <v>15</v>
      </c>
      <c r="G10" s="25" t="s">
        <v>16</v>
      </c>
      <c r="H10" s="26" t="s">
        <v>17</v>
      </c>
      <c r="I10" s="34"/>
      <c r="J10" s="35" t="s">
        <v>18</v>
      </c>
      <c r="K10" s="36" t="s">
        <v>19</v>
      </c>
      <c r="L10" s="80" t="s">
        <v>938</v>
      </c>
      <c r="M10" s="81" t="s">
        <v>939</v>
      </c>
    </row>
    <row r="11" spans="2:13" ht="15" thickBot="1">
      <c r="B11" s="13" t="s">
        <v>940</v>
      </c>
      <c r="C11" s="14">
        <v>0.75</v>
      </c>
      <c r="D11" s="15">
        <v>1</v>
      </c>
      <c r="E11" s="14">
        <v>10</v>
      </c>
      <c r="F11" s="15">
        <v>10</v>
      </c>
      <c r="G11" s="27">
        <v>50</v>
      </c>
      <c r="H11" s="28">
        <v>2900</v>
      </c>
      <c r="I11" s="38" t="s">
        <v>941</v>
      </c>
      <c r="J11" s="39">
        <v>31</v>
      </c>
      <c r="K11" s="40">
        <f>0.369*0.232*0.552</f>
        <v>4.7255616000000007E-2</v>
      </c>
      <c r="L11" s="78">
        <v>1070.2860000000001</v>
      </c>
      <c r="M11" s="78">
        <v>1260.5670000000002</v>
      </c>
    </row>
    <row r="12" spans="2:13" ht="15" thickBot="1">
      <c r="B12" s="13" t="s">
        <v>942</v>
      </c>
      <c r="C12" s="14">
        <v>0.75</v>
      </c>
      <c r="D12" s="15">
        <v>1</v>
      </c>
      <c r="E12" s="14">
        <v>15</v>
      </c>
      <c r="F12" s="15">
        <v>6</v>
      </c>
      <c r="G12" s="27">
        <v>65</v>
      </c>
      <c r="H12" s="28">
        <v>2900</v>
      </c>
      <c r="I12" s="38" t="s">
        <v>941</v>
      </c>
      <c r="J12" s="39">
        <v>32</v>
      </c>
      <c r="K12" s="40">
        <f>0.373*0.232*0.552</f>
        <v>4.7767872000000003E-2</v>
      </c>
      <c r="L12" s="78">
        <v>1137.4020000000003</v>
      </c>
      <c r="M12" s="78">
        <v>1336.9649999999999</v>
      </c>
    </row>
    <row r="13" spans="2:13" ht="15" thickBot="1">
      <c r="B13" s="13" t="s">
        <v>943</v>
      </c>
      <c r="C13" s="14">
        <v>1.1000000000000001</v>
      </c>
      <c r="D13" s="15">
        <v>1.5</v>
      </c>
      <c r="E13" s="14">
        <v>15</v>
      </c>
      <c r="F13" s="15">
        <v>10</v>
      </c>
      <c r="G13" s="27">
        <v>50</v>
      </c>
      <c r="H13" s="28">
        <v>2900</v>
      </c>
      <c r="I13" s="38" t="s">
        <v>941</v>
      </c>
      <c r="J13" s="39">
        <v>33</v>
      </c>
      <c r="K13" s="40">
        <f>0.373*0.232*0.582</f>
        <v>5.0363951999999997E-2</v>
      </c>
      <c r="L13" s="78">
        <v>1137.4020000000003</v>
      </c>
      <c r="M13" s="78">
        <v>1336.9649999999999</v>
      </c>
    </row>
    <row r="14" spans="2:13" ht="15" thickBot="1">
      <c r="B14" s="13" t="s">
        <v>944</v>
      </c>
      <c r="C14" s="14">
        <v>1.1000000000000001</v>
      </c>
      <c r="D14" s="15">
        <v>1.5</v>
      </c>
      <c r="E14" s="14">
        <v>25</v>
      </c>
      <c r="F14" s="15">
        <v>7</v>
      </c>
      <c r="G14" s="27">
        <v>65</v>
      </c>
      <c r="H14" s="28">
        <v>2900</v>
      </c>
      <c r="I14" s="38" t="s">
        <v>941</v>
      </c>
      <c r="J14" s="39">
        <v>34</v>
      </c>
      <c r="K14" s="40">
        <f>0.373*0.232*0.582</f>
        <v>5.0363951999999997E-2</v>
      </c>
      <c r="L14" s="78">
        <v>1181.67</v>
      </c>
      <c r="M14" s="78">
        <v>1390.8720000000001</v>
      </c>
    </row>
    <row r="15" spans="2:13" ht="15" thickBot="1">
      <c r="B15" s="13" t="s">
        <v>945</v>
      </c>
      <c r="C15" s="14">
        <v>1.5</v>
      </c>
      <c r="D15" s="15">
        <v>2</v>
      </c>
      <c r="E15" s="14">
        <v>15</v>
      </c>
      <c r="F15" s="15">
        <v>15</v>
      </c>
      <c r="G15" s="27">
        <v>50</v>
      </c>
      <c r="H15" s="28">
        <v>2900</v>
      </c>
      <c r="I15" s="38" t="s">
        <v>941</v>
      </c>
      <c r="J15" s="39">
        <v>35</v>
      </c>
      <c r="K15" s="40">
        <f>0.373*0.232*0.582</f>
        <v>5.0363951999999997E-2</v>
      </c>
      <c r="L15" s="78">
        <v>1210.23</v>
      </c>
      <c r="M15" s="78">
        <v>1422.645</v>
      </c>
    </row>
    <row r="16" spans="2:13" ht="15" thickBot="1">
      <c r="B16" s="13" t="s">
        <v>946</v>
      </c>
      <c r="C16" s="14">
        <v>1.5</v>
      </c>
      <c r="D16" s="15">
        <v>2</v>
      </c>
      <c r="E16" s="14">
        <v>25</v>
      </c>
      <c r="F16" s="15">
        <v>10</v>
      </c>
      <c r="G16" s="27">
        <v>65</v>
      </c>
      <c r="H16" s="28">
        <v>2900</v>
      </c>
      <c r="I16" s="38" t="s">
        <v>941</v>
      </c>
      <c r="J16" s="39">
        <v>36</v>
      </c>
      <c r="K16" s="40">
        <f>0.373*0.232*0.582</f>
        <v>5.0363951999999997E-2</v>
      </c>
      <c r="L16" s="78">
        <v>1232.364</v>
      </c>
      <c r="M16" s="78">
        <v>1450.491</v>
      </c>
    </row>
    <row r="17" spans="2:13" ht="15" thickBot="1">
      <c r="B17" s="13" t="s">
        <v>947</v>
      </c>
      <c r="C17" s="14">
        <v>1.5</v>
      </c>
      <c r="D17" s="15">
        <v>2</v>
      </c>
      <c r="E17" s="14">
        <v>40</v>
      </c>
      <c r="F17" s="15">
        <v>6</v>
      </c>
      <c r="G17" s="27">
        <v>80</v>
      </c>
      <c r="H17" s="28">
        <v>2900</v>
      </c>
      <c r="I17" s="38" t="s">
        <v>941</v>
      </c>
      <c r="J17" s="39">
        <v>38</v>
      </c>
      <c r="K17" s="40">
        <f>0.431*0.227*0.599</f>
        <v>5.8604363E-2</v>
      </c>
      <c r="L17" s="78">
        <v>1428.3570000000002</v>
      </c>
      <c r="M17" s="78">
        <v>1681.8270000000002</v>
      </c>
    </row>
    <row r="18" spans="2:13" ht="15" thickBot="1">
      <c r="B18" s="13" t="s">
        <v>948</v>
      </c>
      <c r="C18" s="14">
        <v>2.2000000000000002</v>
      </c>
      <c r="D18" s="15">
        <v>3</v>
      </c>
      <c r="E18" s="14">
        <v>15</v>
      </c>
      <c r="F18" s="15">
        <v>20</v>
      </c>
      <c r="G18" s="27">
        <v>50</v>
      </c>
      <c r="H18" s="28">
        <v>2900</v>
      </c>
      <c r="I18" s="38" t="s">
        <v>941</v>
      </c>
      <c r="J18" s="39">
        <v>46</v>
      </c>
      <c r="K18" s="40">
        <f>0.389*0.237*0.618</f>
        <v>5.6975273999999999E-2</v>
      </c>
      <c r="L18" s="78">
        <v>1666.4759999999999</v>
      </c>
      <c r="M18" s="78">
        <v>1961.0009999999997</v>
      </c>
    </row>
    <row r="19" spans="2:13" ht="15" thickBot="1">
      <c r="B19" s="13" t="s">
        <v>949</v>
      </c>
      <c r="C19" s="14">
        <v>2.2000000000000002</v>
      </c>
      <c r="D19" s="15">
        <v>3</v>
      </c>
      <c r="E19" s="14">
        <v>25</v>
      </c>
      <c r="F19" s="15">
        <v>15</v>
      </c>
      <c r="G19" s="27">
        <v>65</v>
      </c>
      <c r="H19" s="28">
        <v>2900</v>
      </c>
      <c r="I19" s="38" t="s">
        <v>941</v>
      </c>
      <c r="J19" s="39">
        <v>51</v>
      </c>
      <c r="K19" s="40">
        <f>0.405*0.24*0.617</f>
        <v>5.9972400000000002E-2</v>
      </c>
      <c r="L19" s="78">
        <v>1745.0160000000001</v>
      </c>
      <c r="M19" s="78">
        <v>2052.393</v>
      </c>
    </row>
    <row r="20" spans="2:13" ht="15" thickBot="1">
      <c r="B20" s="13" t="s">
        <v>950</v>
      </c>
      <c r="C20" s="14">
        <v>2.2000000000000002</v>
      </c>
      <c r="D20" s="15">
        <v>3</v>
      </c>
      <c r="E20" s="14">
        <v>40</v>
      </c>
      <c r="F20" s="15">
        <v>9</v>
      </c>
      <c r="G20" s="27">
        <v>80</v>
      </c>
      <c r="H20" s="28">
        <v>2900</v>
      </c>
      <c r="I20" s="38" t="s">
        <v>941</v>
      </c>
      <c r="J20" s="39">
        <v>54</v>
      </c>
      <c r="K20" s="40">
        <f>0.451*0.248*0.624</f>
        <v>6.9793151999999997E-2</v>
      </c>
      <c r="L20" s="78">
        <v>1776.789</v>
      </c>
      <c r="M20" s="78">
        <v>2090.5920000000001</v>
      </c>
    </row>
    <row r="21" spans="2:13" ht="15" thickBot="1">
      <c r="B21" s="13" t="s">
        <v>951</v>
      </c>
      <c r="C21" s="14">
        <v>2.2000000000000002</v>
      </c>
      <c r="D21" s="15">
        <v>3</v>
      </c>
      <c r="E21" s="14">
        <v>50</v>
      </c>
      <c r="F21" s="15">
        <v>7</v>
      </c>
      <c r="G21" s="27">
        <v>100</v>
      </c>
      <c r="H21" s="28">
        <v>2900</v>
      </c>
      <c r="I21" s="38" t="s">
        <v>941</v>
      </c>
      <c r="J21" s="39">
        <v>56</v>
      </c>
      <c r="K21" s="40">
        <f>0.5*0.264*0.639</f>
        <v>8.4348000000000006E-2</v>
      </c>
      <c r="L21" s="78">
        <v>1973.4959999999999</v>
      </c>
      <c r="M21" s="78">
        <v>2321.9280000000003</v>
      </c>
    </row>
    <row r="22" spans="2:13" ht="15" thickBot="1">
      <c r="B22" s="13" t="s">
        <v>952</v>
      </c>
      <c r="C22" s="14">
        <v>0.75</v>
      </c>
      <c r="D22" s="15">
        <v>1</v>
      </c>
      <c r="E22" s="14">
        <v>10</v>
      </c>
      <c r="F22" s="15">
        <v>10</v>
      </c>
      <c r="G22" s="27">
        <v>50</v>
      </c>
      <c r="H22" s="28">
        <v>2900</v>
      </c>
      <c r="I22" s="38" t="s">
        <v>941</v>
      </c>
      <c r="J22" s="39">
        <v>31</v>
      </c>
      <c r="K22" s="40">
        <f>0.369*0.232*0.552</f>
        <v>4.7255616000000007E-2</v>
      </c>
      <c r="L22" s="78">
        <v>1070.2860000000001</v>
      </c>
      <c r="M22" s="78">
        <v>1260.5670000000002</v>
      </c>
    </row>
    <row r="23" spans="2:13" ht="15" thickBot="1">
      <c r="B23" s="13" t="s">
        <v>953</v>
      </c>
      <c r="C23" s="14">
        <v>0.75</v>
      </c>
      <c r="D23" s="15">
        <v>1</v>
      </c>
      <c r="E23" s="14">
        <v>15</v>
      </c>
      <c r="F23" s="15">
        <v>6</v>
      </c>
      <c r="G23" s="27">
        <v>65</v>
      </c>
      <c r="H23" s="28">
        <v>2900</v>
      </c>
      <c r="I23" s="38" t="s">
        <v>941</v>
      </c>
      <c r="J23" s="39">
        <v>32</v>
      </c>
      <c r="K23" s="40">
        <f>0.373*0.232*0.552</f>
        <v>4.7767872000000003E-2</v>
      </c>
      <c r="L23" s="78">
        <v>1137.4020000000003</v>
      </c>
      <c r="M23" s="78">
        <v>1336.9649999999999</v>
      </c>
    </row>
    <row r="24" spans="2:13" ht="15" thickBot="1">
      <c r="B24" s="13" t="s">
        <v>954</v>
      </c>
      <c r="C24" s="14">
        <v>1.1000000000000001</v>
      </c>
      <c r="D24" s="15">
        <v>1.5</v>
      </c>
      <c r="E24" s="14">
        <v>15</v>
      </c>
      <c r="F24" s="15">
        <v>10</v>
      </c>
      <c r="G24" s="27">
        <v>50</v>
      </c>
      <c r="H24" s="28">
        <v>2900</v>
      </c>
      <c r="I24" s="38" t="s">
        <v>941</v>
      </c>
      <c r="J24" s="39">
        <v>33</v>
      </c>
      <c r="K24" s="40">
        <f>0.373*0.232*0.582</f>
        <v>5.0363951999999997E-2</v>
      </c>
      <c r="L24" s="78">
        <v>1137.4020000000003</v>
      </c>
      <c r="M24" s="78">
        <v>1336.9649999999999</v>
      </c>
    </row>
    <row r="25" spans="2:13" ht="15" thickBot="1">
      <c r="B25" s="13" t="s">
        <v>955</v>
      </c>
      <c r="C25" s="14">
        <v>1.1000000000000001</v>
      </c>
      <c r="D25" s="15">
        <v>1.5</v>
      </c>
      <c r="E25" s="14">
        <v>25</v>
      </c>
      <c r="F25" s="15">
        <v>7</v>
      </c>
      <c r="G25" s="27">
        <v>65</v>
      </c>
      <c r="H25" s="28">
        <v>2900</v>
      </c>
      <c r="I25" s="38" t="s">
        <v>941</v>
      </c>
      <c r="J25" s="39">
        <v>34</v>
      </c>
      <c r="K25" s="40">
        <f>0.373*0.232*0.582</f>
        <v>5.0363951999999997E-2</v>
      </c>
      <c r="L25" s="78">
        <v>1181.67</v>
      </c>
      <c r="M25" s="78">
        <v>1390.8720000000001</v>
      </c>
    </row>
    <row r="26" spans="2:13" ht="15" thickBot="1">
      <c r="B26" s="13" t="s">
        <v>956</v>
      </c>
      <c r="C26" s="14">
        <v>1.5</v>
      </c>
      <c r="D26" s="15">
        <v>2</v>
      </c>
      <c r="E26" s="14">
        <v>15</v>
      </c>
      <c r="F26" s="15">
        <v>15</v>
      </c>
      <c r="G26" s="27">
        <v>50</v>
      </c>
      <c r="H26" s="28">
        <v>2900</v>
      </c>
      <c r="I26" s="38" t="s">
        <v>941</v>
      </c>
      <c r="J26" s="39">
        <v>35</v>
      </c>
      <c r="K26" s="40">
        <f>0.373*0.232*0.582</f>
        <v>5.0363951999999997E-2</v>
      </c>
      <c r="L26" s="78">
        <v>1210.23</v>
      </c>
      <c r="M26" s="78">
        <v>1422.645</v>
      </c>
    </row>
    <row r="27" spans="2:13" ht="15" thickBot="1">
      <c r="B27" s="13" t="s">
        <v>957</v>
      </c>
      <c r="C27" s="14">
        <v>1.5</v>
      </c>
      <c r="D27" s="15">
        <v>2</v>
      </c>
      <c r="E27" s="14">
        <v>25</v>
      </c>
      <c r="F27" s="15">
        <v>10</v>
      </c>
      <c r="G27" s="27">
        <v>65</v>
      </c>
      <c r="H27" s="28">
        <v>2900</v>
      </c>
      <c r="I27" s="38" t="s">
        <v>941</v>
      </c>
      <c r="J27" s="39">
        <v>36</v>
      </c>
      <c r="K27" s="40">
        <f>0.373*0.232*0.582</f>
        <v>5.0363951999999997E-2</v>
      </c>
      <c r="L27" s="78">
        <v>1232.364</v>
      </c>
      <c r="M27" s="78">
        <v>1450.491</v>
      </c>
    </row>
    <row r="28" spans="2:13" ht="15" thickBot="1">
      <c r="B28" s="13" t="s">
        <v>958</v>
      </c>
      <c r="C28" s="14">
        <v>1.5</v>
      </c>
      <c r="D28" s="15">
        <v>2</v>
      </c>
      <c r="E28" s="14">
        <v>40</v>
      </c>
      <c r="F28" s="15">
        <v>6</v>
      </c>
      <c r="G28" s="27">
        <v>80</v>
      </c>
      <c r="H28" s="28">
        <v>2900</v>
      </c>
      <c r="I28" s="38" t="s">
        <v>941</v>
      </c>
      <c r="J28" s="39">
        <v>38</v>
      </c>
      <c r="K28" s="40">
        <f>0.431*0.227*0.599</f>
        <v>5.8604363E-2</v>
      </c>
      <c r="L28" s="78">
        <v>1428.3570000000002</v>
      </c>
      <c r="M28" s="78">
        <v>1681.8270000000002</v>
      </c>
    </row>
    <row r="29" spans="2:13" ht="15" thickBot="1">
      <c r="B29" s="13" t="s">
        <v>959</v>
      </c>
      <c r="C29" s="14">
        <v>2.2000000000000002</v>
      </c>
      <c r="D29" s="15">
        <v>3</v>
      </c>
      <c r="E29" s="14">
        <v>15</v>
      </c>
      <c r="F29" s="15">
        <v>20</v>
      </c>
      <c r="G29" s="27">
        <v>50</v>
      </c>
      <c r="H29" s="28">
        <v>2900</v>
      </c>
      <c r="I29" s="38" t="s">
        <v>941</v>
      </c>
      <c r="J29" s="39">
        <v>46</v>
      </c>
      <c r="K29" s="40">
        <f>0.389*0.237*0.618</f>
        <v>5.6975273999999999E-2</v>
      </c>
      <c r="L29" s="78">
        <v>1539.741</v>
      </c>
      <c r="M29" s="78">
        <v>1812.1320000000001</v>
      </c>
    </row>
    <row r="30" spans="2:13" ht="15" thickBot="1">
      <c r="B30" s="13" t="s">
        <v>960</v>
      </c>
      <c r="C30" s="14">
        <v>2.2000000000000002</v>
      </c>
      <c r="D30" s="15">
        <v>3</v>
      </c>
      <c r="E30" s="14">
        <v>25</v>
      </c>
      <c r="F30" s="15">
        <v>15</v>
      </c>
      <c r="G30" s="27">
        <v>65</v>
      </c>
      <c r="H30" s="28">
        <v>2900</v>
      </c>
      <c r="I30" s="38" t="s">
        <v>941</v>
      </c>
      <c r="J30" s="39">
        <v>51</v>
      </c>
      <c r="K30" s="40">
        <f>0.405*0.24*0.617</f>
        <v>5.9972400000000002E-2</v>
      </c>
      <c r="L30" s="78">
        <v>1612.5690000000002</v>
      </c>
      <c r="M30" s="78">
        <v>1897.8120000000001</v>
      </c>
    </row>
    <row r="31" spans="2:13" ht="15" thickBot="1">
      <c r="B31" s="13" t="s">
        <v>961</v>
      </c>
      <c r="C31" s="14">
        <v>2.2000000000000002</v>
      </c>
      <c r="D31" s="15">
        <v>3</v>
      </c>
      <c r="E31" s="14">
        <v>40</v>
      </c>
      <c r="F31" s="15">
        <v>9</v>
      </c>
      <c r="G31" s="27">
        <v>80</v>
      </c>
      <c r="H31" s="28">
        <v>2900</v>
      </c>
      <c r="I31" s="38" t="s">
        <v>941</v>
      </c>
      <c r="J31" s="39">
        <v>54</v>
      </c>
      <c r="K31" s="40">
        <f>0.451*0.248*0.624</f>
        <v>6.9793151999999997E-2</v>
      </c>
      <c r="L31" s="78">
        <v>1650.0540000000001</v>
      </c>
      <c r="M31" s="78">
        <v>1941.723</v>
      </c>
    </row>
    <row r="32" spans="2:13" ht="15" thickBot="1">
      <c r="B32" s="13" t="s">
        <v>962</v>
      </c>
      <c r="C32" s="14">
        <v>2.2000000000000002</v>
      </c>
      <c r="D32" s="15">
        <v>3</v>
      </c>
      <c r="E32" s="14">
        <v>50</v>
      </c>
      <c r="F32" s="15">
        <v>7</v>
      </c>
      <c r="G32" s="27">
        <v>100</v>
      </c>
      <c r="H32" s="28">
        <v>2900</v>
      </c>
      <c r="I32" s="38" t="s">
        <v>941</v>
      </c>
      <c r="J32" s="39">
        <v>56</v>
      </c>
      <c r="K32" s="40">
        <f>0.5*0.264*0.639</f>
        <v>8.4348000000000006E-2</v>
      </c>
      <c r="L32" s="78">
        <v>1846.7609999999997</v>
      </c>
      <c r="M32" s="78">
        <v>2173.0590000000002</v>
      </c>
    </row>
    <row r="33" spans="2:13" ht="15" thickBot="1">
      <c r="B33" s="13" t="s">
        <v>963</v>
      </c>
      <c r="C33" s="14">
        <v>3</v>
      </c>
      <c r="D33" s="15">
        <v>4</v>
      </c>
      <c r="E33" s="14">
        <v>15</v>
      </c>
      <c r="F33" s="15">
        <v>25</v>
      </c>
      <c r="G33" s="27">
        <v>50</v>
      </c>
      <c r="H33" s="28">
        <v>2900</v>
      </c>
      <c r="I33" s="38" t="s">
        <v>941</v>
      </c>
      <c r="J33" s="39">
        <v>52</v>
      </c>
      <c r="K33" s="40">
        <f>0.409*0.256*0.635</f>
        <v>6.6487039999999997E-2</v>
      </c>
      <c r="L33" s="78">
        <v>1612.5690000000002</v>
      </c>
      <c r="M33" s="78">
        <v>1897.8120000000001</v>
      </c>
    </row>
    <row r="34" spans="2:13" ht="15" thickBot="1">
      <c r="B34" s="13" t="s">
        <v>964</v>
      </c>
      <c r="C34" s="14">
        <v>3</v>
      </c>
      <c r="D34" s="15">
        <v>4</v>
      </c>
      <c r="E34" s="14">
        <v>25</v>
      </c>
      <c r="F34" s="15">
        <v>20</v>
      </c>
      <c r="G34" s="27">
        <v>65</v>
      </c>
      <c r="H34" s="28">
        <v>2900</v>
      </c>
      <c r="I34" s="38" t="s">
        <v>941</v>
      </c>
      <c r="J34" s="39">
        <v>54</v>
      </c>
      <c r="K34" s="40">
        <f>0.426*0.258*0.64</f>
        <v>7.0341120000000007E-2</v>
      </c>
      <c r="L34" s="78">
        <v>1685.3970000000002</v>
      </c>
      <c r="M34" s="78">
        <v>1983.135</v>
      </c>
    </row>
    <row r="35" spans="2:13" ht="15" thickBot="1">
      <c r="B35" s="13" t="s">
        <v>965</v>
      </c>
      <c r="C35" s="14">
        <v>3</v>
      </c>
      <c r="D35" s="15">
        <v>4</v>
      </c>
      <c r="E35" s="14">
        <v>40</v>
      </c>
      <c r="F35" s="15">
        <v>15</v>
      </c>
      <c r="G35" s="27">
        <v>80</v>
      </c>
      <c r="H35" s="28">
        <v>2900</v>
      </c>
      <c r="I35" s="38" t="s">
        <v>941</v>
      </c>
      <c r="J35" s="39">
        <v>60</v>
      </c>
      <c r="K35" s="40">
        <f>0.468*0.275*0.648</f>
        <v>8.3397600000000002E-2</v>
      </c>
      <c r="L35" s="78">
        <v>1846.7609999999997</v>
      </c>
      <c r="M35" s="78">
        <v>2173.0590000000002</v>
      </c>
    </row>
    <row r="36" spans="2:13" ht="15" thickBot="1">
      <c r="B36" s="13" t="s">
        <v>966</v>
      </c>
      <c r="C36" s="14">
        <v>3</v>
      </c>
      <c r="D36" s="15">
        <v>4</v>
      </c>
      <c r="E36" s="14">
        <v>50</v>
      </c>
      <c r="F36" s="15">
        <v>10</v>
      </c>
      <c r="G36" s="27">
        <v>100</v>
      </c>
      <c r="H36" s="28">
        <v>2900</v>
      </c>
      <c r="I36" s="38" t="s">
        <v>941</v>
      </c>
      <c r="J36" s="39">
        <v>62</v>
      </c>
      <c r="K36" s="40">
        <f>0.522*0.285*0.665</f>
        <v>9.8932049999999994E-2</v>
      </c>
      <c r="L36" s="78">
        <v>2002.4129999999998</v>
      </c>
      <c r="M36" s="78">
        <v>2356.5569999999998</v>
      </c>
    </row>
    <row r="37" spans="2:13" ht="15" thickBot="1">
      <c r="B37" s="13" t="s">
        <v>967</v>
      </c>
      <c r="C37" s="14">
        <v>4</v>
      </c>
      <c r="D37" s="15">
        <v>5.5</v>
      </c>
      <c r="E37" s="14">
        <v>15</v>
      </c>
      <c r="F37" s="15">
        <v>32</v>
      </c>
      <c r="G37" s="27">
        <v>50</v>
      </c>
      <c r="H37" s="28">
        <v>2900</v>
      </c>
      <c r="I37" s="38" t="s">
        <v>941</v>
      </c>
      <c r="J37" s="39">
        <v>59</v>
      </c>
      <c r="K37" s="40">
        <f>0.409*0.256*0.66</f>
        <v>6.9104639999999995E-2</v>
      </c>
      <c r="L37" s="78">
        <v>1884.96</v>
      </c>
      <c r="M37" s="78">
        <v>2217.3269999999998</v>
      </c>
    </row>
    <row r="38" spans="2:13" ht="15" thickBot="1">
      <c r="B38" s="13" t="s">
        <v>968</v>
      </c>
      <c r="C38" s="14">
        <v>4</v>
      </c>
      <c r="D38" s="15">
        <v>5.5</v>
      </c>
      <c r="E38" s="14">
        <v>25</v>
      </c>
      <c r="F38" s="15">
        <v>25</v>
      </c>
      <c r="G38" s="27">
        <v>65</v>
      </c>
      <c r="H38" s="28">
        <v>2900</v>
      </c>
      <c r="I38" s="38" t="s">
        <v>941</v>
      </c>
      <c r="J38" s="39">
        <v>72</v>
      </c>
      <c r="K38" s="40">
        <f>0.426*0.258*0.665</f>
        <v>7.3088820000000013E-2</v>
      </c>
      <c r="L38" s="78">
        <v>1929.2279999999998</v>
      </c>
      <c r="M38" s="78">
        <v>2268.0209999999997</v>
      </c>
    </row>
    <row r="39" spans="2:13" ht="15" thickBot="1">
      <c r="B39" s="13" t="s">
        <v>969</v>
      </c>
      <c r="C39" s="14">
        <v>4</v>
      </c>
      <c r="D39" s="15">
        <v>5.5</v>
      </c>
      <c r="E39" s="14">
        <v>40</v>
      </c>
      <c r="F39" s="15">
        <v>18</v>
      </c>
      <c r="G39" s="27">
        <v>80</v>
      </c>
      <c r="H39" s="28">
        <v>2900</v>
      </c>
      <c r="I39" s="38" t="s">
        <v>941</v>
      </c>
      <c r="J39" s="39">
        <v>74</v>
      </c>
      <c r="K39" s="40">
        <f>0.468*0.275*0.673</f>
        <v>8.6615100000000014E-2</v>
      </c>
      <c r="L39" s="78">
        <v>1963.8570000000002</v>
      </c>
      <c r="M39" s="78">
        <v>2309.433</v>
      </c>
    </row>
    <row r="40" spans="2:13" ht="15" thickBot="1">
      <c r="B40" s="13" t="s">
        <v>970</v>
      </c>
      <c r="C40" s="14">
        <v>4</v>
      </c>
      <c r="D40" s="15">
        <v>5.5</v>
      </c>
      <c r="E40" s="14">
        <v>50</v>
      </c>
      <c r="F40" s="15">
        <v>15</v>
      </c>
      <c r="G40" s="27">
        <v>100</v>
      </c>
      <c r="H40" s="28">
        <v>2900</v>
      </c>
      <c r="I40" s="38" t="s">
        <v>941</v>
      </c>
      <c r="J40" s="39">
        <v>85</v>
      </c>
      <c r="K40" s="40">
        <f>0.522*0.286*0.69</f>
        <v>0.10301147999999997</v>
      </c>
      <c r="L40" s="78">
        <v>2078.0970000000002</v>
      </c>
      <c r="M40" s="78">
        <v>2445.8069999999998</v>
      </c>
    </row>
    <row r="41" spans="2:13" ht="15" thickBot="1">
      <c r="B41" s="13" t="s">
        <v>971</v>
      </c>
      <c r="C41" s="14">
        <v>5.5</v>
      </c>
      <c r="D41" s="15">
        <v>7.5</v>
      </c>
      <c r="E41" s="14">
        <v>20</v>
      </c>
      <c r="F41" s="15">
        <v>32</v>
      </c>
      <c r="G41" s="27">
        <v>50</v>
      </c>
      <c r="H41" s="28">
        <v>2900</v>
      </c>
      <c r="I41" s="38" t="s">
        <v>941</v>
      </c>
      <c r="J41" s="39">
        <v>80</v>
      </c>
      <c r="K41" s="40">
        <f>0.445*0.286*0.749</f>
        <v>9.5325229999999997E-2</v>
      </c>
      <c r="L41" s="78">
        <v>2603.9580000000001</v>
      </c>
      <c r="M41" s="78">
        <v>3063.06</v>
      </c>
    </row>
    <row r="42" spans="2:13" ht="15" thickBot="1">
      <c r="B42" s="13" t="s">
        <v>972</v>
      </c>
      <c r="C42" s="14">
        <v>5.5</v>
      </c>
      <c r="D42" s="15">
        <v>7.5</v>
      </c>
      <c r="E42" s="14">
        <v>30</v>
      </c>
      <c r="F42" s="15">
        <v>25</v>
      </c>
      <c r="G42" s="27">
        <v>65</v>
      </c>
      <c r="H42" s="28">
        <v>2900</v>
      </c>
      <c r="I42" s="38" t="s">
        <v>941</v>
      </c>
      <c r="J42" s="39">
        <v>80</v>
      </c>
      <c r="K42" s="40">
        <f>0.46*0.304*0.751</f>
        <v>0.10501983999999999</v>
      </c>
      <c r="L42" s="78">
        <v>2641.8</v>
      </c>
      <c r="M42" s="78">
        <v>3107.328</v>
      </c>
    </row>
    <row r="43" spans="2:13" ht="15" thickBot="1">
      <c r="B43" s="13" t="s">
        <v>973</v>
      </c>
      <c r="C43" s="14">
        <v>5.5</v>
      </c>
      <c r="D43" s="15">
        <v>7.5</v>
      </c>
      <c r="E43" s="14">
        <v>50</v>
      </c>
      <c r="F43" s="15">
        <v>18</v>
      </c>
      <c r="G43" s="27">
        <v>80</v>
      </c>
      <c r="H43" s="28">
        <v>2900</v>
      </c>
      <c r="I43" s="38" t="s">
        <v>941</v>
      </c>
      <c r="J43" s="39">
        <v>83</v>
      </c>
      <c r="K43" s="40">
        <f>0.51*0.305*0.774</f>
        <v>0.12039569999999999</v>
      </c>
      <c r="L43" s="78">
        <v>2682.855</v>
      </c>
      <c r="M43" s="78">
        <v>3155.1659999999997</v>
      </c>
    </row>
    <row r="44" spans="2:13" ht="15" thickBot="1">
      <c r="B44" s="13" t="s">
        <v>974</v>
      </c>
      <c r="C44" s="14">
        <v>5.5</v>
      </c>
      <c r="D44" s="15">
        <v>7.5</v>
      </c>
      <c r="E44" s="14">
        <v>80</v>
      </c>
      <c r="F44" s="15">
        <v>10</v>
      </c>
      <c r="G44" s="27">
        <v>100</v>
      </c>
      <c r="H44" s="28">
        <v>2900</v>
      </c>
      <c r="I44" s="38" t="s">
        <v>941</v>
      </c>
      <c r="J44" s="39">
        <v>91</v>
      </c>
      <c r="K44" s="40">
        <f>0.548*0.315*0.782</f>
        <v>0.13498884000000003</v>
      </c>
      <c r="L44" s="78">
        <v>2838.5070000000001</v>
      </c>
      <c r="M44" s="78">
        <v>3338.6640000000002</v>
      </c>
    </row>
    <row r="45" spans="2:13" ht="15" thickBot="1">
      <c r="B45" s="13" t="s">
        <v>975</v>
      </c>
      <c r="C45" s="14">
        <v>5.5</v>
      </c>
      <c r="D45" s="15">
        <v>7.5</v>
      </c>
      <c r="E45" s="14">
        <v>100</v>
      </c>
      <c r="F45" s="15">
        <v>7</v>
      </c>
      <c r="G45" s="27">
        <v>150</v>
      </c>
      <c r="H45" s="28">
        <v>2900</v>
      </c>
      <c r="I45" s="38" t="s">
        <v>941</v>
      </c>
      <c r="J45" s="39">
        <v>106</v>
      </c>
      <c r="K45" s="40">
        <f>0.628*0.328*0.793</f>
        <v>0.16334531200000002</v>
      </c>
      <c r="L45" s="78">
        <v>3234.0630000000001</v>
      </c>
      <c r="M45" s="78">
        <v>3804.1919999999996</v>
      </c>
    </row>
    <row r="46" spans="2:13" ht="15" thickBot="1">
      <c r="B46" s="13" t="s">
        <v>976</v>
      </c>
      <c r="C46" s="14">
        <v>7.5</v>
      </c>
      <c r="D46" s="15">
        <v>10</v>
      </c>
      <c r="E46" s="14">
        <v>20</v>
      </c>
      <c r="F46" s="15">
        <v>40</v>
      </c>
      <c r="G46" s="27">
        <v>50</v>
      </c>
      <c r="H46" s="28">
        <v>2900</v>
      </c>
      <c r="I46" s="38" t="s">
        <v>941</v>
      </c>
      <c r="J46" s="39">
        <v>133</v>
      </c>
      <c r="K46" s="40">
        <f>0.457*0.309*0.782</f>
        <v>0.11042856600000001</v>
      </c>
      <c r="L46" s="78">
        <v>2962.0290000000005</v>
      </c>
      <c r="M46" s="78">
        <v>3484.32</v>
      </c>
    </row>
    <row r="47" spans="2:13" ht="15" thickBot="1">
      <c r="B47" s="13" t="s">
        <v>977</v>
      </c>
      <c r="C47" s="14">
        <v>7.5</v>
      </c>
      <c r="D47" s="15">
        <v>10</v>
      </c>
      <c r="E47" s="14">
        <v>30</v>
      </c>
      <c r="F47" s="15">
        <v>32</v>
      </c>
      <c r="G47" s="27">
        <v>65</v>
      </c>
      <c r="H47" s="28">
        <v>2900</v>
      </c>
      <c r="I47" s="38" t="s">
        <v>941</v>
      </c>
      <c r="J47" s="39">
        <v>133</v>
      </c>
      <c r="K47" s="40">
        <f>0.482*0.309*0.795</f>
        <v>0.11840571</v>
      </c>
      <c r="L47" s="78">
        <v>3079.125</v>
      </c>
      <c r="M47" s="78">
        <v>3623.55</v>
      </c>
    </row>
    <row r="48" spans="2:13" ht="15" thickBot="1">
      <c r="B48" s="13" t="s">
        <v>978</v>
      </c>
      <c r="C48" s="14">
        <v>7.5</v>
      </c>
      <c r="D48" s="15">
        <v>10</v>
      </c>
      <c r="E48" s="14">
        <v>45</v>
      </c>
      <c r="F48" s="15">
        <v>22</v>
      </c>
      <c r="G48" s="27">
        <v>80</v>
      </c>
      <c r="H48" s="28">
        <v>2900</v>
      </c>
      <c r="I48" s="38" t="s">
        <v>941</v>
      </c>
      <c r="J48" s="39">
        <v>136</v>
      </c>
      <c r="K48" s="40">
        <f>0.513*0.309*0.807</f>
        <v>0.127923219</v>
      </c>
      <c r="L48" s="78">
        <v>3148.3830000000003</v>
      </c>
      <c r="M48" s="78">
        <v>3703.1609999999996</v>
      </c>
    </row>
    <row r="49" spans="2:13" ht="15" thickBot="1">
      <c r="B49" s="13" t="s">
        <v>979</v>
      </c>
      <c r="C49" s="14">
        <v>7.5</v>
      </c>
      <c r="D49" s="15">
        <v>10</v>
      </c>
      <c r="E49" s="14">
        <v>80</v>
      </c>
      <c r="F49" s="15">
        <v>15</v>
      </c>
      <c r="G49" s="27">
        <v>100</v>
      </c>
      <c r="H49" s="28">
        <v>2900</v>
      </c>
      <c r="I49" s="38" t="s">
        <v>941</v>
      </c>
      <c r="J49" s="39">
        <v>140</v>
      </c>
      <c r="K49" s="40">
        <f>0.548*0.315*0.815</f>
        <v>0.14068530000000001</v>
      </c>
      <c r="L49" s="78">
        <v>3221.5680000000002</v>
      </c>
      <c r="M49" s="78">
        <v>3788.8409999999999</v>
      </c>
    </row>
    <row r="50" spans="2:13" ht="15" thickBot="1">
      <c r="B50" s="13" t="s">
        <v>980</v>
      </c>
      <c r="C50" s="14">
        <v>7.5</v>
      </c>
      <c r="D50" s="15">
        <v>10</v>
      </c>
      <c r="E50" s="14">
        <v>100</v>
      </c>
      <c r="F50" s="15">
        <v>10</v>
      </c>
      <c r="G50" s="27">
        <v>150</v>
      </c>
      <c r="H50" s="28">
        <v>2900</v>
      </c>
      <c r="I50" s="38" t="s">
        <v>941</v>
      </c>
      <c r="J50" s="39">
        <v>155</v>
      </c>
      <c r="K50" s="40">
        <f>0.628*0.328*0.832</f>
        <v>0.171378688</v>
      </c>
      <c r="L50" s="78">
        <v>3545.01</v>
      </c>
      <c r="M50" s="78">
        <v>4168.6890000000003</v>
      </c>
    </row>
    <row r="51" spans="2:13" ht="15" thickBot="1">
      <c r="B51" s="13" t="s">
        <v>981</v>
      </c>
      <c r="C51" s="14">
        <v>11</v>
      </c>
      <c r="D51" s="15">
        <v>15</v>
      </c>
      <c r="E51" s="14">
        <v>30</v>
      </c>
      <c r="F51" s="15">
        <v>50</v>
      </c>
      <c r="G51" s="27">
        <v>65</v>
      </c>
      <c r="H51" s="28">
        <v>2900</v>
      </c>
      <c r="I51" s="38" t="s">
        <v>941</v>
      </c>
      <c r="J51" s="39">
        <v>126</v>
      </c>
      <c r="K51" s="40">
        <f>0.5*0.308*1.047</f>
        <v>0.16123799999999999</v>
      </c>
      <c r="L51" s="78">
        <v>4459.6440000000002</v>
      </c>
      <c r="M51" s="78">
        <v>5245.7580000000007</v>
      </c>
    </row>
    <row r="52" spans="2:13" ht="15" thickBot="1">
      <c r="B52" s="13" t="s">
        <v>982</v>
      </c>
      <c r="C52" s="14">
        <v>11</v>
      </c>
      <c r="D52" s="15">
        <v>15</v>
      </c>
      <c r="E52" s="14">
        <v>45</v>
      </c>
      <c r="F52" s="15">
        <v>42</v>
      </c>
      <c r="G52" s="27">
        <v>80</v>
      </c>
      <c r="H52" s="28">
        <v>2900</v>
      </c>
      <c r="I52" s="38" t="s">
        <v>941</v>
      </c>
      <c r="J52" s="39">
        <v>140</v>
      </c>
      <c r="K52" s="40">
        <f>0.532*0.308*1.053</f>
        <v>0.172540368</v>
      </c>
      <c r="L52" s="78">
        <v>4459.6440000000002</v>
      </c>
      <c r="M52" s="78">
        <v>5245.7580000000007</v>
      </c>
    </row>
    <row r="53" spans="2:13" ht="15" thickBot="1">
      <c r="B53" s="13" t="s">
        <v>983</v>
      </c>
      <c r="C53" s="14">
        <v>11</v>
      </c>
      <c r="D53" s="15">
        <v>15</v>
      </c>
      <c r="E53" s="14">
        <v>100</v>
      </c>
      <c r="F53" s="15">
        <v>20</v>
      </c>
      <c r="G53" s="27">
        <v>100</v>
      </c>
      <c r="H53" s="28">
        <v>2900</v>
      </c>
      <c r="I53" s="38" t="s">
        <v>941</v>
      </c>
      <c r="J53" s="39">
        <v>147</v>
      </c>
      <c r="K53" s="40">
        <f>0.548*0.315*1.044</f>
        <v>0.18021528000000003</v>
      </c>
      <c r="L53" s="78">
        <v>4459.6440000000002</v>
      </c>
      <c r="M53" s="78">
        <v>5245.7580000000007</v>
      </c>
    </row>
    <row r="54" spans="2:13" ht="15" thickBot="1">
      <c r="B54" s="13" t="s">
        <v>984</v>
      </c>
      <c r="C54" s="14">
        <v>11</v>
      </c>
      <c r="D54" s="15">
        <v>15</v>
      </c>
      <c r="E54" s="14">
        <v>180</v>
      </c>
      <c r="F54" s="15">
        <v>11</v>
      </c>
      <c r="G54" s="27">
        <v>150</v>
      </c>
      <c r="H54" s="28">
        <v>2900</v>
      </c>
      <c r="I54" s="38" t="s">
        <v>941</v>
      </c>
      <c r="J54" s="39">
        <v>157</v>
      </c>
      <c r="K54" s="40">
        <f>0.628*0.328*1.055</f>
        <v>0.21731312</v>
      </c>
      <c r="L54" s="78">
        <v>4459.6440000000002</v>
      </c>
      <c r="M54" s="78">
        <v>5245.7580000000007</v>
      </c>
    </row>
    <row r="55" spans="2:13" ht="15" thickBot="1">
      <c r="B55" s="13" t="s">
        <v>985</v>
      </c>
      <c r="C55" s="14">
        <v>11</v>
      </c>
      <c r="D55" s="15">
        <v>15</v>
      </c>
      <c r="E55" s="14">
        <v>200</v>
      </c>
      <c r="F55" s="15">
        <v>9</v>
      </c>
      <c r="G55" s="27">
        <v>200</v>
      </c>
      <c r="H55" s="28">
        <v>2900</v>
      </c>
      <c r="I55" s="38" t="s">
        <v>941</v>
      </c>
      <c r="J55" s="39">
        <v>172</v>
      </c>
      <c r="K55" s="40">
        <f>0.708*0.382*1.041</f>
        <v>0.28154469599999993</v>
      </c>
      <c r="L55" s="78">
        <v>4459.6440000000002</v>
      </c>
      <c r="M55" s="78">
        <v>5245.7580000000007</v>
      </c>
    </row>
    <row r="56" spans="2:13" ht="15" thickBot="1">
      <c r="B56" s="13" t="s">
        <v>986</v>
      </c>
      <c r="C56" s="14">
        <v>15</v>
      </c>
      <c r="D56" s="15">
        <v>20</v>
      </c>
      <c r="E56" s="14">
        <v>30</v>
      </c>
      <c r="F56" s="15">
        <v>60</v>
      </c>
      <c r="G56" s="27">
        <v>65</v>
      </c>
      <c r="H56" s="28">
        <v>2900</v>
      </c>
      <c r="I56" s="38" t="s">
        <v>941</v>
      </c>
      <c r="J56" s="39">
        <v>149</v>
      </c>
      <c r="K56" s="40">
        <f>0.5*0.308*1.047</f>
        <v>0.16123799999999999</v>
      </c>
      <c r="L56" s="78">
        <v>4795.5810000000001</v>
      </c>
      <c r="M56" s="78">
        <v>5638.4580000000005</v>
      </c>
    </row>
    <row r="57" spans="2:13" ht="15" thickBot="1">
      <c r="B57" s="13" t="s">
        <v>987</v>
      </c>
      <c r="C57" s="14">
        <v>15</v>
      </c>
      <c r="D57" s="15">
        <v>20</v>
      </c>
      <c r="E57" s="14">
        <v>45</v>
      </c>
      <c r="F57" s="15">
        <v>52</v>
      </c>
      <c r="G57" s="27">
        <v>80</v>
      </c>
      <c r="H57" s="28">
        <v>2900</v>
      </c>
      <c r="I57" s="38" t="s">
        <v>941</v>
      </c>
      <c r="J57" s="39">
        <v>152</v>
      </c>
      <c r="K57" s="40">
        <f>0.532*0.308*1.053</f>
        <v>0.172540368</v>
      </c>
      <c r="L57" s="78">
        <v>4795.5810000000001</v>
      </c>
      <c r="M57" s="78">
        <v>5638.4580000000005</v>
      </c>
    </row>
    <row r="58" spans="2:13" ht="15" thickBot="1">
      <c r="B58" s="13" t="s">
        <v>988</v>
      </c>
      <c r="C58" s="14">
        <v>15</v>
      </c>
      <c r="D58" s="15">
        <v>20</v>
      </c>
      <c r="E58" s="14">
        <v>100</v>
      </c>
      <c r="F58" s="15">
        <v>25</v>
      </c>
      <c r="G58" s="27">
        <v>100</v>
      </c>
      <c r="H58" s="28">
        <v>2900</v>
      </c>
      <c r="I58" s="38" t="s">
        <v>941</v>
      </c>
      <c r="J58" s="39">
        <v>160</v>
      </c>
      <c r="K58" s="40">
        <f>0.548*0.315*1.044</f>
        <v>0.18021528000000003</v>
      </c>
      <c r="L58" s="78">
        <v>4795.5810000000001</v>
      </c>
      <c r="M58" s="78">
        <v>5638.4580000000005</v>
      </c>
    </row>
    <row r="59" spans="2:13" ht="15" thickBot="1">
      <c r="B59" s="13" t="s">
        <v>989</v>
      </c>
      <c r="C59" s="14">
        <v>15</v>
      </c>
      <c r="D59" s="15">
        <v>20</v>
      </c>
      <c r="E59" s="14">
        <v>180</v>
      </c>
      <c r="F59" s="15">
        <v>15</v>
      </c>
      <c r="G59" s="27">
        <v>150</v>
      </c>
      <c r="H59" s="28">
        <v>2900</v>
      </c>
      <c r="I59" s="38" t="s">
        <v>941</v>
      </c>
      <c r="J59" s="39">
        <v>170</v>
      </c>
      <c r="K59" s="40">
        <f>0.628*0.328*1.055</f>
        <v>0.21731312</v>
      </c>
      <c r="L59" s="78">
        <v>4795.5810000000001</v>
      </c>
      <c r="M59" s="78">
        <v>5638.4580000000005</v>
      </c>
    </row>
    <row r="60" spans="2:13" ht="15" thickBot="1">
      <c r="B60" s="13" t="s">
        <v>990</v>
      </c>
      <c r="C60" s="14">
        <v>15</v>
      </c>
      <c r="D60" s="15">
        <v>20</v>
      </c>
      <c r="E60" s="14">
        <v>200</v>
      </c>
      <c r="F60" s="15">
        <v>11</v>
      </c>
      <c r="G60" s="27">
        <v>200</v>
      </c>
      <c r="H60" s="28">
        <v>2900</v>
      </c>
      <c r="I60" s="38" t="s">
        <v>941</v>
      </c>
      <c r="J60" s="39">
        <v>185</v>
      </c>
      <c r="K60" s="40">
        <f>0.708*0.382*1.041</f>
        <v>0.28154469599999993</v>
      </c>
      <c r="L60" s="78">
        <v>4795.5810000000001</v>
      </c>
      <c r="M60" s="78">
        <v>5638.4580000000005</v>
      </c>
    </row>
    <row r="61" spans="2:13" ht="15" thickBot="1">
      <c r="B61" s="13" t="s">
        <v>991</v>
      </c>
      <c r="C61" s="14">
        <v>18.5</v>
      </c>
      <c r="D61" s="15">
        <v>25</v>
      </c>
      <c r="E61" s="14">
        <v>60</v>
      </c>
      <c r="F61" s="15">
        <v>45</v>
      </c>
      <c r="G61" s="27">
        <v>80</v>
      </c>
      <c r="H61" s="28">
        <v>2900</v>
      </c>
      <c r="I61" s="38" t="s">
        <v>941</v>
      </c>
      <c r="J61" s="39">
        <v>183</v>
      </c>
      <c r="K61" s="40">
        <f>0.55*0.313*1.082</f>
        <v>0.18626630000000005</v>
      </c>
      <c r="L61" s="78">
        <v>6690.5369999999994</v>
      </c>
      <c r="M61" s="78">
        <v>7871.85</v>
      </c>
    </row>
    <row r="62" spans="2:13" ht="15" thickBot="1">
      <c r="B62" s="13" t="s">
        <v>992</v>
      </c>
      <c r="C62" s="14">
        <v>18.5</v>
      </c>
      <c r="D62" s="15">
        <v>25</v>
      </c>
      <c r="E62" s="14">
        <v>80</v>
      </c>
      <c r="F62" s="15">
        <v>40</v>
      </c>
      <c r="G62" s="27">
        <v>100</v>
      </c>
      <c r="H62" s="28">
        <v>2900</v>
      </c>
      <c r="I62" s="38" t="s">
        <v>941</v>
      </c>
      <c r="J62" s="39">
        <v>193</v>
      </c>
      <c r="K62" s="40">
        <f>0.635*0.365*1.097</f>
        <v>0.254257175</v>
      </c>
      <c r="L62" s="78">
        <v>6690.5369999999994</v>
      </c>
      <c r="M62" s="78">
        <v>7871.85</v>
      </c>
    </row>
    <row r="63" spans="2:13" ht="15" thickBot="1">
      <c r="B63" s="13" t="s">
        <v>993</v>
      </c>
      <c r="C63" s="14">
        <v>18.5</v>
      </c>
      <c r="D63" s="15">
        <v>25</v>
      </c>
      <c r="E63" s="14">
        <v>100</v>
      </c>
      <c r="F63" s="15">
        <v>36</v>
      </c>
      <c r="G63" s="27">
        <v>150</v>
      </c>
      <c r="H63" s="28">
        <v>2900</v>
      </c>
      <c r="I63" s="38" t="s">
        <v>941</v>
      </c>
      <c r="J63" s="39">
        <v>207</v>
      </c>
      <c r="K63" s="40">
        <f>0.718*0.385*1.112</f>
        <v>0.30739016000000002</v>
      </c>
      <c r="L63" s="78">
        <v>6690.5369999999994</v>
      </c>
      <c r="M63" s="78">
        <v>7871.85</v>
      </c>
    </row>
    <row r="64" spans="2:13" ht="15" thickBot="1">
      <c r="B64" s="13" t="s">
        <v>994</v>
      </c>
      <c r="C64" s="14">
        <v>18.5</v>
      </c>
      <c r="D64" s="15">
        <v>25</v>
      </c>
      <c r="E64" s="14">
        <v>180</v>
      </c>
      <c r="F64" s="15">
        <v>18</v>
      </c>
      <c r="G64" s="27">
        <v>200</v>
      </c>
      <c r="H64" s="28">
        <v>2900</v>
      </c>
      <c r="I64" s="38" t="s">
        <v>941</v>
      </c>
      <c r="J64" s="39">
        <v>226</v>
      </c>
      <c r="K64" s="40">
        <f>0.8*0.411*1.143</f>
        <v>0.3758184</v>
      </c>
      <c r="L64" s="78">
        <v>6690.5369999999994</v>
      </c>
      <c r="M64" s="78">
        <v>7871.85</v>
      </c>
    </row>
    <row r="65" spans="2:13" ht="15" thickBot="1">
      <c r="B65" s="13" t="s">
        <v>995</v>
      </c>
      <c r="C65" s="14">
        <v>22</v>
      </c>
      <c r="D65" s="15">
        <v>30</v>
      </c>
      <c r="E65" s="14">
        <v>60</v>
      </c>
      <c r="F65" s="15">
        <v>50</v>
      </c>
      <c r="G65" s="27">
        <v>80</v>
      </c>
      <c r="H65" s="28">
        <v>2900</v>
      </c>
      <c r="I65" s="38" t="s">
        <v>941</v>
      </c>
      <c r="J65" s="39">
        <v>193</v>
      </c>
      <c r="K65" s="40">
        <f>0.55*0.313*1.082</f>
        <v>0.18626630000000005</v>
      </c>
      <c r="L65" s="78">
        <v>7025.76</v>
      </c>
      <c r="M65" s="78">
        <v>8235.99</v>
      </c>
    </row>
    <row r="66" spans="2:13" ht="15" thickBot="1">
      <c r="B66" s="13" t="s">
        <v>996</v>
      </c>
      <c r="C66" s="14">
        <v>22</v>
      </c>
      <c r="D66" s="15">
        <v>30</v>
      </c>
      <c r="E66" s="14">
        <v>80</v>
      </c>
      <c r="F66" s="15">
        <v>45</v>
      </c>
      <c r="G66" s="27">
        <v>100</v>
      </c>
      <c r="H66" s="28">
        <v>2900</v>
      </c>
      <c r="I66" s="38" t="s">
        <v>941</v>
      </c>
      <c r="J66" s="39">
        <v>203</v>
      </c>
      <c r="K66" s="40">
        <f>0.635*0.365*1.097</f>
        <v>0.254257175</v>
      </c>
      <c r="L66" s="78">
        <v>7025.76</v>
      </c>
      <c r="M66" s="78">
        <v>8235.99</v>
      </c>
    </row>
    <row r="67" spans="2:13" ht="15" thickBot="1">
      <c r="B67" s="13" t="s">
        <v>997</v>
      </c>
      <c r="C67" s="14">
        <v>22</v>
      </c>
      <c r="D67" s="15">
        <v>30</v>
      </c>
      <c r="E67" s="14">
        <v>100</v>
      </c>
      <c r="F67" s="15">
        <v>35</v>
      </c>
      <c r="G67" s="27">
        <v>150</v>
      </c>
      <c r="H67" s="28">
        <v>2900</v>
      </c>
      <c r="I67" s="38" t="s">
        <v>941</v>
      </c>
      <c r="J67" s="39">
        <v>222</v>
      </c>
      <c r="K67" s="40">
        <f>0.718*0.385*1.112</f>
        <v>0.30739016000000002</v>
      </c>
      <c r="L67" s="78">
        <v>7025.76</v>
      </c>
      <c r="M67" s="78">
        <v>8235.99</v>
      </c>
    </row>
    <row r="68" spans="2:13" ht="15" thickBot="1">
      <c r="B68" s="13" t="s">
        <v>998</v>
      </c>
      <c r="C68" s="14">
        <v>22</v>
      </c>
      <c r="D68" s="15">
        <v>30</v>
      </c>
      <c r="E68" s="14">
        <v>200</v>
      </c>
      <c r="F68" s="15">
        <v>20</v>
      </c>
      <c r="G68" s="27">
        <v>200</v>
      </c>
      <c r="H68" s="28">
        <v>2900</v>
      </c>
      <c r="I68" s="38" t="s">
        <v>941</v>
      </c>
      <c r="J68" s="39">
        <v>241</v>
      </c>
      <c r="K68" s="40">
        <f>0.8*0.411*1.143</f>
        <v>0.3758184</v>
      </c>
      <c r="L68" s="78">
        <v>7025.76</v>
      </c>
      <c r="M68" s="78">
        <v>8235.99</v>
      </c>
    </row>
    <row r="69" spans="2:13" ht="15" thickBot="1">
      <c r="B69" s="13" t="s">
        <v>999</v>
      </c>
      <c r="C69" s="14">
        <v>11</v>
      </c>
      <c r="D69" s="15">
        <v>15</v>
      </c>
      <c r="E69" s="14">
        <v>100</v>
      </c>
      <c r="F69" s="15">
        <v>20</v>
      </c>
      <c r="G69" s="27">
        <v>100</v>
      </c>
      <c r="H69" s="28">
        <v>1450</v>
      </c>
      <c r="I69" s="38" t="s">
        <v>941</v>
      </c>
      <c r="J69" s="39">
        <v>235</v>
      </c>
      <c r="K69" s="40">
        <f>0.818*0.541*1.128</f>
        <v>0.49918286399999995</v>
      </c>
      <c r="L69" s="78">
        <v>8084.2650000000003</v>
      </c>
      <c r="M69" s="78">
        <v>9756.4529999999995</v>
      </c>
    </row>
    <row r="70" spans="2:13" ht="15" thickBot="1">
      <c r="B70" s="13" t="s">
        <v>1000</v>
      </c>
      <c r="C70" s="14">
        <v>11</v>
      </c>
      <c r="D70" s="15">
        <v>15</v>
      </c>
      <c r="E70" s="14">
        <v>180</v>
      </c>
      <c r="F70" s="15">
        <v>11</v>
      </c>
      <c r="G70" s="27">
        <v>150</v>
      </c>
      <c r="H70" s="28">
        <v>1450</v>
      </c>
      <c r="I70" s="38" t="s">
        <v>941</v>
      </c>
      <c r="J70" s="39">
        <v>238</v>
      </c>
      <c r="K70" s="40">
        <f>0.815*0.505*1.137</f>
        <v>0.467960775</v>
      </c>
      <c r="L70" s="78">
        <v>8084.2650000000003</v>
      </c>
      <c r="M70" s="78">
        <v>9756.4529999999995</v>
      </c>
    </row>
    <row r="71" spans="2:13" ht="15" thickBot="1">
      <c r="B71" s="13" t="s">
        <v>1001</v>
      </c>
      <c r="C71" s="14">
        <v>11</v>
      </c>
      <c r="D71" s="15">
        <v>15</v>
      </c>
      <c r="E71" s="14">
        <v>300</v>
      </c>
      <c r="F71" s="15">
        <v>7</v>
      </c>
      <c r="G71" s="27">
        <v>200</v>
      </c>
      <c r="H71" s="28">
        <v>1450</v>
      </c>
      <c r="I71" s="38" t="s">
        <v>941</v>
      </c>
      <c r="J71" s="39">
        <v>245</v>
      </c>
      <c r="K71" s="40">
        <f>0.87*0.49*1.157</f>
        <v>0.49322910000000003</v>
      </c>
      <c r="L71" s="78">
        <v>8084.2650000000003</v>
      </c>
      <c r="M71" s="78">
        <v>9756.4529999999995</v>
      </c>
    </row>
    <row r="72" spans="2:13" ht="15" thickBot="1">
      <c r="B72" s="13" t="s">
        <v>1002</v>
      </c>
      <c r="C72" s="14">
        <v>15</v>
      </c>
      <c r="D72" s="15">
        <v>20</v>
      </c>
      <c r="E72" s="14">
        <v>100</v>
      </c>
      <c r="F72" s="15">
        <v>25</v>
      </c>
      <c r="G72" s="27">
        <v>100</v>
      </c>
      <c r="H72" s="28">
        <v>1450</v>
      </c>
      <c r="I72" s="38" t="s">
        <v>941</v>
      </c>
      <c r="J72" s="39">
        <v>255</v>
      </c>
      <c r="K72" s="40">
        <f>0.818*0.541*1.128</f>
        <v>0.49918286399999995</v>
      </c>
      <c r="L72" s="78">
        <v>9588.3060000000005</v>
      </c>
      <c r="M72" s="78">
        <v>11511.108</v>
      </c>
    </row>
    <row r="73" spans="2:13" ht="15" thickBot="1">
      <c r="B73" s="13" t="s">
        <v>1003</v>
      </c>
      <c r="C73" s="14">
        <v>15</v>
      </c>
      <c r="D73" s="15">
        <v>20</v>
      </c>
      <c r="E73" s="14">
        <v>180</v>
      </c>
      <c r="F73" s="15">
        <v>15</v>
      </c>
      <c r="G73" s="27">
        <v>150</v>
      </c>
      <c r="H73" s="28">
        <v>1450</v>
      </c>
      <c r="I73" s="38" t="s">
        <v>941</v>
      </c>
      <c r="J73" s="39">
        <v>258</v>
      </c>
      <c r="K73" s="40">
        <f>0.815*0.505*1.137</f>
        <v>0.467960775</v>
      </c>
      <c r="L73" s="78">
        <v>9588.3060000000005</v>
      </c>
      <c r="M73" s="78">
        <v>11511.108</v>
      </c>
    </row>
    <row r="74" spans="2:13" ht="15" thickBot="1">
      <c r="B74" s="13" t="s">
        <v>1004</v>
      </c>
      <c r="C74" s="14">
        <v>15</v>
      </c>
      <c r="D74" s="15">
        <v>20</v>
      </c>
      <c r="E74" s="14">
        <v>250</v>
      </c>
      <c r="F74" s="15">
        <v>11</v>
      </c>
      <c r="G74" s="27">
        <v>200</v>
      </c>
      <c r="H74" s="28">
        <v>1450</v>
      </c>
      <c r="I74" s="38" t="s">
        <v>941</v>
      </c>
      <c r="J74" s="39">
        <v>265</v>
      </c>
      <c r="K74" s="40">
        <f>0.89*0.49*1.157</f>
        <v>0.50456769999999995</v>
      </c>
      <c r="L74" s="78">
        <v>9588.3060000000005</v>
      </c>
      <c r="M74" s="78">
        <v>11511.108</v>
      </c>
    </row>
    <row r="75" spans="2:13" ht="15" thickBot="1">
      <c r="B75" s="13" t="s">
        <v>1005</v>
      </c>
      <c r="C75" s="14">
        <v>18.5</v>
      </c>
      <c r="D75" s="15">
        <v>25</v>
      </c>
      <c r="E75" s="14">
        <v>100</v>
      </c>
      <c r="F75" s="15">
        <v>30</v>
      </c>
      <c r="G75" s="27">
        <v>100</v>
      </c>
      <c r="H75" s="28">
        <v>1450</v>
      </c>
      <c r="I75" s="38" t="s">
        <v>941</v>
      </c>
      <c r="J75" s="39">
        <v>286</v>
      </c>
      <c r="K75" s="40">
        <f>0.82*0.541*1.167</f>
        <v>0.51770453999999999</v>
      </c>
      <c r="L75" s="78">
        <v>11428.641000000001</v>
      </c>
      <c r="M75" s="78">
        <v>13937.637000000001</v>
      </c>
    </row>
    <row r="76" spans="2:13" ht="15" thickBot="1">
      <c r="B76" s="13" t="s">
        <v>1006</v>
      </c>
      <c r="C76" s="14">
        <v>18.5</v>
      </c>
      <c r="D76" s="15">
        <v>25</v>
      </c>
      <c r="E76" s="14">
        <v>180</v>
      </c>
      <c r="F76" s="15">
        <v>20</v>
      </c>
      <c r="G76" s="27">
        <v>150</v>
      </c>
      <c r="H76" s="28">
        <v>1450</v>
      </c>
      <c r="I76" s="38" t="s">
        <v>941</v>
      </c>
      <c r="J76" s="39">
        <v>300</v>
      </c>
      <c r="K76" s="40">
        <f>0.876*0.57*1.15</f>
        <v>0.5742179999999999</v>
      </c>
      <c r="L76" s="78">
        <v>11428.641000000001</v>
      </c>
      <c r="M76" s="78">
        <v>13937.637000000001</v>
      </c>
    </row>
    <row r="77" spans="2:13" ht="15" thickBot="1">
      <c r="B77" s="13" t="s">
        <v>1007</v>
      </c>
      <c r="C77" s="14">
        <v>18.5</v>
      </c>
      <c r="D77" s="15">
        <v>25</v>
      </c>
      <c r="E77" s="14">
        <v>250</v>
      </c>
      <c r="F77" s="15">
        <v>15</v>
      </c>
      <c r="G77" s="27">
        <v>200</v>
      </c>
      <c r="H77" s="28">
        <v>1450</v>
      </c>
      <c r="I77" s="38" t="s">
        <v>941</v>
      </c>
      <c r="J77" s="39">
        <v>312</v>
      </c>
      <c r="K77" s="40">
        <f>0.95*0.541*1.165</f>
        <v>0.59875175000000003</v>
      </c>
      <c r="L77" s="78">
        <v>11428.641000000001</v>
      </c>
      <c r="M77" s="78">
        <v>13937.637000000001</v>
      </c>
    </row>
    <row r="78" spans="2:13" ht="15" thickBot="1">
      <c r="B78" s="13" t="s">
        <v>1008</v>
      </c>
      <c r="C78" s="14">
        <v>22</v>
      </c>
      <c r="D78" s="15">
        <v>30</v>
      </c>
      <c r="E78" s="14">
        <v>100</v>
      </c>
      <c r="F78" s="15">
        <v>35</v>
      </c>
      <c r="G78" s="27">
        <v>100</v>
      </c>
      <c r="H78" s="28">
        <v>1450</v>
      </c>
      <c r="I78" s="38" t="s">
        <v>941</v>
      </c>
      <c r="J78" s="39">
        <v>366</v>
      </c>
      <c r="K78" s="40">
        <f>0.82*0.541*1.167</f>
        <v>0.51770453999999999</v>
      </c>
      <c r="L78" s="78">
        <v>12543.909</v>
      </c>
      <c r="M78" s="78">
        <v>15331.365</v>
      </c>
    </row>
    <row r="79" spans="2:13" ht="15" thickBot="1">
      <c r="B79" s="13" t="s">
        <v>1009</v>
      </c>
      <c r="C79" s="14">
        <v>22</v>
      </c>
      <c r="D79" s="15">
        <v>30</v>
      </c>
      <c r="E79" s="14">
        <v>180</v>
      </c>
      <c r="F79" s="15">
        <v>25</v>
      </c>
      <c r="G79" s="27">
        <v>150</v>
      </c>
      <c r="H79" s="28">
        <v>1450</v>
      </c>
      <c r="I79" s="38" t="s">
        <v>941</v>
      </c>
      <c r="J79" s="39">
        <v>380</v>
      </c>
      <c r="K79" s="40">
        <f>0.876*0.57*1.15</f>
        <v>0.5742179999999999</v>
      </c>
      <c r="L79" s="78">
        <v>12543.909</v>
      </c>
      <c r="M79" s="78">
        <v>15331.365</v>
      </c>
    </row>
    <row r="80" spans="2:13" ht="15" thickBot="1">
      <c r="B80" s="13" t="s">
        <v>1010</v>
      </c>
      <c r="C80" s="14">
        <v>22</v>
      </c>
      <c r="D80" s="15">
        <v>30</v>
      </c>
      <c r="E80" s="14">
        <v>250</v>
      </c>
      <c r="F80" s="15">
        <v>20</v>
      </c>
      <c r="G80" s="27">
        <v>200</v>
      </c>
      <c r="H80" s="28">
        <v>1450</v>
      </c>
      <c r="I80" s="38" t="s">
        <v>941</v>
      </c>
      <c r="J80" s="39">
        <v>392</v>
      </c>
      <c r="K80" s="40">
        <f>0.95*0.541*1.165</f>
        <v>0.59875175000000003</v>
      </c>
      <c r="L80" s="78">
        <v>12543.909</v>
      </c>
      <c r="M80" s="78">
        <v>15331.365</v>
      </c>
    </row>
    <row r="81" spans="2:13" ht="15" thickBot="1">
      <c r="B81" s="13" t="s">
        <v>1011</v>
      </c>
      <c r="C81" s="14">
        <v>30</v>
      </c>
      <c r="D81" s="15">
        <v>40</v>
      </c>
      <c r="E81" s="14">
        <v>100</v>
      </c>
      <c r="F81" s="15">
        <v>45</v>
      </c>
      <c r="G81" s="27">
        <v>100</v>
      </c>
      <c r="H81" s="28">
        <v>1450</v>
      </c>
      <c r="I81" s="38" t="s">
        <v>941</v>
      </c>
      <c r="J81" s="39">
        <v>494</v>
      </c>
      <c r="K81" s="40">
        <f>0.875*0.57*1.41</f>
        <v>0.70323749999999996</v>
      </c>
      <c r="L81" s="78">
        <v>15609.825000000001</v>
      </c>
      <c r="M81" s="78">
        <v>18733.575000000001</v>
      </c>
    </row>
    <row r="82" spans="2:13" ht="15" thickBot="1">
      <c r="B82" s="13" t="s">
        <v>1012</v>
      </c>
      <c r="C82" s="14">
        <v>30</v>
      </c>
      <c r="D82" s="15">
        <v>40</v>
      </c>
      <c r="E82" s="14">
        <v>180</v>
      </c>
      <c r="F82" s="15">
        <v>30</v>
      </c>
      <c r="G82" s="27">
        <v>150</v>
      </c>
      <c r="H82" s="28">
        <v>1450</v>
      </c>
      <c r="I82" s="38" t="s">
        <v>941</v>
      </c>
      <c r="J82" s="39">
        <v>499</v>
      </c>
      <c r="K82" s="40">
        <f>0.875*0.57*1.41</f>
        <v>0.70323749999999996</v>
      </c>
      <c r="L82" s="78">
        <v>15609.825000000001</v>
      </c>
      <c r="M82" s="78">
        <v>18733.575000000001</v>
      </c>
    </row>
    <row r="83" spans="2:13" ht="15" thickBot="1">
      <c r="B83" s="13" t="s">
        <v>1013</v>
      </c>
      <c r="C83" s="14">
        <v>30</v>
      </c>
      <c r="D83" s="15">
        <v>40</v>
      </c>
      <c r="E83" s="14">
        <v>250</v>
      </c>
      <c r="F83" s="15">
        <v>22</v>
      </c>
      <c r="G83" s="27">
        <v>200</v>
      </c>
      <c r="H83" s="28">
        <v>1450</v>
      </c>
      <c r="I83" s="38" t="s">
        <v>941</v>
      </c>
      <c r="J83" s="39">
        <v>511</v>
      </c>
      <c r="K83" s="40">
        <f>0.935*0.545*1.43</f>
        <v>0.72869225000000015</v>
      </c>
      <c r="L83" s="78">
        <v>15609.825000000001</v>
      </c>
      <c r="M83" s="78">
        <v>18733.575000000001</v>
      </c>
    </row>
    <row r="84" spans="2:13" ht="15" thickBot="1">
      <c r="B84" s="13" t="s">
        <v>1014</v>
      </c>
      <c r="C84" s="14">
        <v>30</v>
      </c>
      <c r="D84" s="15">
        <v>40</v>
      </c>
      <c r="E84" s="14">
        <v>600</v>
      </c>
      <c r="F84" s="15">
        <v>9</v>
      </c>
      <c r="G84" s="27">
        <v>250</v>
      </c>
      <c r="H84" s="28">
        <v>1450</v>
      </c>
      <c r="I84" s="38" t="s">
        <v>941</v>
      </c>
      <c r="J84" s="39">
        <v>548</v>
      </c>
      <c r="K84" s="40">
        <f>0.995*0.62*1.465</f>
        <v>0.90375850000000002</v>
      </c>
      <c r="L84" s="78">
        <v>15609.825000000001</v>
      </c>
      <c r="M84" s="78">
        <v>18733.575000000001</v>
      </c>
    </row>
    <row r="85" spans="2:13" ht="15" thickBot="1">
      <c r="B85" s="13" t="s">
        <v>1015</v>
      </c>
      <c r="C85" s="14">
        <v>37</v>
      </c>
      <c r="D85" s="15">
        <v>50</v>
      </c>
      <c r="E85" s="14">
        <v>180</v>
      </c>
      <c r="F85" s="15">
        <v>37</v>
      </c>
      <c r="G85" s="27">
        <v>150</v>
      </c>
      <c r="H85" s="28">
        <v>1450</v>
      </c>
      <c r="I85" s="38" t="s">
        <v>941</v>
      </c>
      <c r="J85" s="39">
        <v>559</v>
      </c>
      <c r="K85" s="40">
        <f>0.875*0.57*1.41</f>
        <v>0.70323749999999996</v>
      </c>
      <c r="L85" s="292" t="s">
        <v>1260</v>
      </c>
      <c r="M85" s="293"/>
    </row>
    <row r="86" spans="2:13" ht="15" thickBot="1">
      <c r="B86" s="13" t="s">
        <v>1016</v>
      </c>
      <c r="C86" s="14">
        <v>37</v>
      </c>
      <c r="D86" s="15">
        <v>50</v>
      </c>
      <c r="E86" s="14">
        <v>350</v>
      </c>
      <c r="F86" s="15">
        <v>25</v>
      </c>
      <c r="G86" s="27">
        <v>200</v>
      </c>
      <c r="H86" s="28">
        <v>1450</v>
      </c>
      <c r="I86" s="38" t="s">
        <v>941</v>
      </c>
      <c r="J86" s="39">
        <v>571</v>
      </c>
      <c r="K86" s="40">
        <f>0.935*0.545*1.43</f>
        <v>0.72869225000000015</v>
      </c>
      <c r="L86" s="294"/>
      <c r="M86" s="295"/>
    </row>
    <row r="87" spans="2:13" ht="15" thickBot="1">
      <c r="B87" s="13" t="s">
        <v>1017</v>
      </c>
      <c r="C87" s="14">
        <v>37</v>
      </c>
      <c r="D87" s="15">
        <v>50</v>
      </c>
      <c r="E87" s="14">
        <v>600</v>
      </c>
      <c r="F87" s="15">
        <v>12</v>
      </c>
      <c r="G87" s="27">
        <v>250</v>
      </c>
      <c r="H87" s="28">
        <v>1450</v>
      </c>
      <c r="I87" s="38" t="s">
        <v>941</v>
      </c>
      <c r="J87" s="39">
        <v>613</v>
      </c>
      <c r="K87" s="40">
        <f>0.995*0.62*1.465</f>
        <v>0.90375850000000002</v>
      </c>
      <c r="L87" s="294"/>
      <c r="M87" s="295"/>
    </row>
    <row r="88" spans="2:13" ht="15" thickBot="1">
      <c r="B88" s="13" t="s">
        <v>1018</v>
      </c>
      <c r="C88" s="14">
        <v>37</v>
      </c>
      <c r="D88" s="15">
        <v>50</v>
      </c>
      <c r="E88" s="14">
        <v>800</v>
      </c>
      <c r="F88" s="15">
        <v>9</v>
      </c>
      <c r="G88" s="27">
        <v>300</v>
      </c>
      <c r="H88" s="28">
        <v>1450</v>
      </c>
      <c r="I88" s="38" t="s">
        <v>941</v>
      </c>
      <c r="J88" s="39">
        <v>639</v>
      </c>
      <c r="K88" s="40">
        <f>1.09*0.69*1.496</f>
        <v>1.1251416000000001</v>
      </c>
      <c r="L88" s="294"/>
      <c r="M88" s="295"/>
    </row>
    <row r="89" spans="2:13" ht="15" thickBot="1">
      <c r="B89" s="13" t="s">
        <v>1019</v>
      </c>
      <c r="C89" s="14">
        <v>45</v>
      </c>
      <c r="D89" s="15">
        <v>60</v>
      </c>
      <c r="E89" s="14">
        <v>200</v>
      </c>
      <c r="F89" s="15">
        <v>40</v>
      </c>
      <c r="G89" s="27">
        <v>150</v>
      </c>
      <c r="H89" s="28">
        <v>1450</v>
      </c>
      <c r="I89" s="38" t="s">
        <v>941</v>
      </c>
      <c r="J89" s="39">
        <v>698</v>
      </c>
      <c r="K89" s="40">
        <f>0.875*0.57*1.65</f>
        <v>0.82293749999999988</v>
      </c>
      <c r="L89" s="294"/>
      <c r="M89" s="295"/>
    </row>
    <row r="90" spans="2:13" ht="15" thickBot="1">
      <c r="B90" s="13" t="s">
        <v>1020</v>
      </c>
      <c r="C90" s="14">
        <v>45</v>
      </c>
      <c r="D90" s="15">
        <v>60</v>
      </c>
      <c r="E90" s="14">
        <v>400</v>
      </c>
      <c r="F90" s="15">
        <v>25</v>
      </c>
      <c r="G90" s="27">
        <v>200</v>
      </c>
      <c r="H90" s="28">
        <v>1450</v>
      </c>
      <c r="I90" s="38" t="s">
        <v>941</v>
      </c>
      <c r="J90" s="39">
        <v>709</v>
      </c>
      <c r="K90" s="40">
        <f>0.935*0.545*1.65</f>
        <v>0.84079875000000015</v>
      </c>
      <c r="L90" s="294"/>
      <c r="M90" s="295"/>
    </row>
    <row r="91" spans="2:13" ht="15" thickBot="1">
      <c r="B91" s="13" t="s">
        <v>1021</v>
      </c>
      <c r="C91" s="14">
        <v>45</v>
      </c>
      <c r="D91" s="15">
        <v>60</v>
      </c>
      <c r="E91" s="14">
        <v>600</v>
      </c>
      <c r="F91" s="15">
        <v>15</v>
      </c>
      <c r="G91" s="27">
        <v>250</v>
      </c>
      <c r="H91" s="28">
        <v>1450</v>
      </c>
      <c r="I91" s="38" t="s">
        <v>941</v>
      </c>
      <c r="J91" s="39">
        <v>751</v>
      </c>
      <c r="K91" s="40">
        <f>0.995*0.62*1.65</f>
        <v>1.0178849999999999</v>
      </c>
      <c r="L91" s="294"/>
      <c r="M91" s="295"/>
    </row>
    <row r="92" spans="2:13" ht="15" thickBot="1">
      <c r="B92" s="13" t="s">
        <v>1022</v>
      </c>
      <c r="C92" s="14">
        <v>45</v>
      </c>
      <c r="D92" s="15">
        <v>60</v>
      </c>
      <c r="E92" s="14">
        <v>800</v>
      </c>
      <c r="F92" s="15">
        <v>12</v>
      </c>
      <c r="G92" s="27">
        <v>300</v>
      </c>
      <c r="H92" s="28">
        <v>1450</v>
      </c>
      <c r="I92" s="38" t="s">
        <v>941</v>
      </c>
      <c r="J92" s="39">
        <v>777</v>
      </c>
      <c r="K92" s="40">
        <f>1.09*0.69*1.65</f>
        <v>1.2409649999999999</v>
      </c>
      <c r="L92" s="296"/>
      <c r="M92" s="297"/>
    </row>
    <row r="93" spans="2:13" ht="23.25" thickBot="1">
      <c r="B93" s="8"/>
      <c r="C93" s="8"/>
      <c r="D93" s="8"/>
      <c r="E93" s="8"/>
      <c r="F93" s="8"/>
      <c r="G93" s="8"/>
      <c r="H93" s="1"/>
      <c r="I93" s="8"/>
      <c r="J93" s="1"/>
      <c r="K93" s="1"/>
      <c r="L93" s="8"/>
      <c r="M93" s="8"/>
    </row>
    <row r="94" spans="2:13" ht="15">
      <c r="B94" s="44" t="s">
        <v>190</v>
      </c>
      <c r="C94" s="45" t="s">
        <v>1023</v>
      </c>
      <c r="D94" s="46"/>
      <c r="E94" s="51"/>
      <c r="F94" s="51"/>
      <c r="G94" s="51"/>
      <c r="H94" s="51"/>
      <c r="I94" s="51"/>
      <c r="J94" s="51"/>
      <c r="K94" s="51"/>
      <c r="L94" s="51"/>
      <c r="M94" s="51"/>
    </row>
    <row r="95" spans="2:13" ht="15">
      <c r="B95" s="47" t="s">
        <v>192</v>
      </c>
      <c r="C95" s="48" t="s">
        <v>1023</v>
      </c>
      <c r="D95" s="49"/>
      <c r="E95" s="52"/>
      <c r="F95" s="52"/>
      <c r="G95" s="52"/>
      <c r="H95" s="52"/>
      <c r="I95" s="52"/>
      <c r="J95" s="52"/>
      <c r="K95" s="52"/>
      <c r="L95" s="52"/>
      <c r="M95" s="52"/>
    </row>
    <row r="96" spans="2:13" ht="15">
      <c r="B96" s="47" t="s">
        <v>193</v>
      </c>
      <c r="C96" s="48" t="s">
        <v>898</v>
      </c>
      <c r="D96" s="49"/>
      <c r="E96" s="52"/>
      <c r="F96" s="52"/>
      <c r="G96" s="52"/>
      <c r="H96" s="52"/>
      <c r="I96" s="52"/>
      <c r="J96" s="52"/>
      <c r="K96" s="52"/>
      <c r="L96" s="52"/>
      <c r="M96" s="52"/>
    </row>
    <row r="97" spans="2:14" ht="15">
      <c r="B97" s="47" t="s">
        <v>194</v>
      </c>
      <c r="C97" s="48" t="s">
        <v>195</v>
      </c>
      <c r="D97" s="49"/>
      <c r="E97" s="52"/>
      <c r="F97" s="52"/>
      <c r="G97" s="52"/>
      <c r="H97" s="52"/>
      <c r="I97" s="52"/>
      <c r="J97" s="52"/>
      <c r="K97" s="52"/>
      <c r="L97" s="52"/>
      <c r="M97" s="52"/>
    </row>
    <row r="98" spans="2:14" ht="15">
      <c r="B98" s="60" t="s">
        <v>935</v>
      </c>
      <c r="C98" s="56" t="s">
        <v>936</v>
      </c>
      <c r="D98" s="57"/>
      <c r="E98" s="58"/>
      <c r="F98" s="58"/>
      <c r="G98" s="58"/>
      <c r="H98" s="58"/>
      <c r="I98" s="58"/>
      <c r="J98" s="58"/>
      <c r="K98" s="58"/>
      <c r="L98" s="58"/>
      <c r="M98" s="58"/>
    </row>
    <row r="99" spans="2:14"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</row>
    <row r="100" spans="2:14" ht="25.5">
      <c r="B100" s="53" t="s">
        <v>1024</v>
      </c>
      <c r="C100" s="6"/>
      <c r="D100" s="6"/>
      <c r="E100" s="6"/>
      <c r="F100" s="6"/>
      <c r="G100" s="6"/>
      <c r="H100" s="17"/>
      <c r="I100" s="6"/>
      <c r="J100" s="29"/>
      <c r="K100" s="29"/>
      <c r="L100" s="6"/>
      <c r="M100" s="6"/>
    </row>
    <row r="101" spans="2:14" ht="15" thickBot="1"/>
    <row r="102" spans="2:14">
      <c r="B102" s="267" t="s">
        <v>0</v>
      </c>
      <c r="C102" s="255" t="s">
        <v>1</v>
      </c>
      <c r="D102" s="267"/>
      <c r="E102" s="257" t="s">
        <v>2</v>
      </c>
      <c r="F102" s="258"/>
      <c r="G102" s="258"/>
      <c r="H102" s="18" t="s">
        <v>3</v>
      </c>
      <c r="I102" s="19" t="s">
        <v>4</v>
      </c>
      <c r="J102" s="30" t="s">
        <v>5</v>
      </c>
      <c r="K102" s="31" t="s">
        <v>6</v>
      </c>
      <c r="L102" s="31" t="s">
        <v>7</v>
      </c>
      <c r="M102" s="259" t="s">
        <v>8</v>
      </c>
      <c r="N102" s="255"/>
    </row>
    <row r="103" spans="2:14" ht="15">
      <c r="B103" s="268"/>
      <c r="C103" s="256"/>
      <c r="D103" s="268"/>
      <c r="E103" s="20" t="s">
        <v>9</v>
      </c>
      <c r="F103" s="33" t="s">
        <v>10</v>
      </c>
      <c r="G103" s="10" t="s">
        <v>854</v>
      </c>
      <c r="H103" s="21"/>
      <c r="I103" s="22"/>
      <c r="J103" s="32"/>
      <c r="K103" s="33"/>
      <c r="L103" s="33"/>
      <c r="M103" s="260" t="s">
        <v>11</v>
      </c>
      <c r="N103" s="261"/>
    </row>
    <row r="104" spans="2:14" ht="15.75" thickBot="1">
      <c r="B104" s="11"/>
      <c r="C104" s="12" t="s">
        <v>12</v>
      </c>
      <c r="D104" s="11" t="s">
        <v>13</v>
      </c>
      <c r="E104" s="23" t="s">
        <v>14</v>
      </c>
      <c r="F104" s="133" t="s">
        <v>15</v>
      </c>
      <c r="G104" s="134" t="s">
        <v>15</v>
      </c>
      <c r="H104" s="25" t="s">
        <v>16</v>
      </c>
      <c r="I104" s="26" t="s">
        <v>17</v>
      </c>
      <c r="J104" s="34"/>
      <c r="K104" s="35" t="s">
        <v>18</v>
      </c>
      <c r="L104" s="36" t="s">
        <v>19</v>
      </c>
      <c r="M104" s="37" t="s">
        <v>486</v>
      </c>
      <c r="N104" s="43" t="s">
        <v>487</v>
      </c>
    </row>
    <row r="105" spans="2:14" ht="15" thickBot="1">
      <c r="B105" s="13" t="s">
        <v>1025</v>
      </c>
      <c r="C105" s="14">
        <v>0.75</v>
      </c>
      <c r="D105" s="15">
        <v>1</v>
      </c>
      <c r="E105" s="14">
        <v>10</v>
      </c>
      <c r="F105" s="28">
        <v>10</v>
      </c>
      <c r="G105" s="136">
        <v>13</v>
      </c>
      <c r="H105" s="27">
        <v>50</v>
      </c>
      <c r="I105" s="28">
        <v>2900</v>
      </c>
      <c r="J105" s="38" t="s">
        <v>707</v>
      </c>
      <c r="K105" s="39">
        <v>28</v>
      </c>
      <c r="L105" s="40">
        <v>4.7255616000000007E-2</v>
      </c>
      <c r="M105" s="78">
        <v>364.49699999999996</v>
      </c>
      <c r="N105" s="78">
        <v>337.36500000000001</v>
      </c>
    </row>
    <row r="106" spans="2:14" ht="15" thickBot="1">
      <c r="B106" s="13" t="s">
        <v>2547</v>
      </c>
      <c r="C106" s="14">
        <v>0.75</v>
      </c>
      <c r="D106" s="15">
        <v>1</v>
      </c>
      <c r="E106" s="14">
        <v>15</v>
      </c>
      <c r="F106" s="28">
        <v>8</v>
      </c>
      <c r="G106" s="136">
        <v>12</v>
      </c>
      <c r="H106" s="27">
        <v>65</v>
      </c>
      <c r="I106" s="28">
        <v>2900</v>
      </c>
      <c r="J106" s="38" t="s">
        <v>707</v>
      </c>
      <c r="K106" s="39">
        <v>28</v>
      </c>
      <c r="L106" s="40">
        <v>4.7255616000000007E-2</v>
      </c>
      <c r="M106" s="78">
        <v>379.84800000000001</v>
      </c>
      <c r="N106" s="78">
        <v>351.64499999999998</v>
      </c>
    </row>
    <row r="107" spans="2:14" ht="15" thickBot="1">
      <c r="B107" s="13" t="s">
        <v>1026</v>
      </c>
      <c r="C107" s="14">
        <v>1.1000000000000001</v>
      </c>
      <c r="D107" s="15">
        <v>1.5</v>
      </c>
      <c r="E107" s="14">
        <v>7</v>
      </c>
      <c r="F107" s="28">
        <v>15</v>
      </c>
      <c r="G107" s="136">
        <v>18</v>
      </c>
      <c r="H107" s="27">
        <v>50</v>
      </c>
      <c r="I107" s="28">
        <v>2900</v>
      </c>
      <c r="J107" s="38" t="s">
        <v>707</v>
      </c>
      <c r="K107" s="39">
        <v>31</v>
      </c>
      <c r="L107" s="40">
        <v>5.0363951999999997E-2</v>
      </c>
      <c r="M107" s="78">
        <v>371.28000000000003</v>
      </c>
      <c r="N107" s="78">
        <v>343.791</v>
      </c>
    </row>
    <row r="108" spans="2:14" ht="15" thickBot="1">
      <c r="B108" s="13" t="s">
        <v>1027</v>
      </c>
      <c r="C108" s="14">
        <v>1.1000000000000001</v>
      </c>
      <c r="D108" s="15">
        <v>1.5</v>
      </c>
      <c r="E108" s="14">
        <v>10</v>
      </c>
      <c r="F108" s="28">
        <v>12</v>
      </c>
      <c r="G108" s="136">
        <v>18</v>
      </c>
      <c r="H108" s="27">
        <v>50</v>
      </c>
      <c r="I108" s="28">
        <v>2900</v>
      </c>
      <c r="J108" s="38" t="s">
        <v>707</v>
      </c>
      <c r="K108" s="39">
        <v>31</v>
      </c>
      <c r="L108" s="40">
        <v>5.0363951999999997E-2</v>
      </c>
      <c r="M108" s="78">
        <v>371.28000000000003</v>
      </c>
      <c r="N108" s="78">
        <v>343.791</v>
      </c>
    </row>
    <row r="109" spans="2:14" ht="15" thickBot="1">
      <c r="B109" s="13" t="s">
        <v>1028</v>
      </c>
      <c r="C109" s="14">
        <v>1.1000000000000001</v>
      </c>
      <c r="D109" s="15">
        <v>1.5</v>
      </c>
      <c r="E109" s="14">
        <v>15</v>
      </c>
      <c r="F109" s="28">
        <v>9</v>
      </c>
      <c r="G109" s="136">
        <v>14</v>
      </c>
      <c r="H109" s="27">
        <v>65</v>
      </c>
      <c r="I109" s="28">
        <v>2900</v>
      </c>
      <c r="J109" s="38" t="s">
        <v>707</v>
      </c>
      <c r="K109" s="39">
        <v>43</v>
      </c>
      <c r="L109" s="40">
        <v>5.8604363E-2</v>
      </c>
      <c r="M109" s="78">
        <v>388.77300000000002</v>
      </c>
      <c r="N109" s="78">
        <v>359.85599999999999</v>
      </c>
    </row>
    <row r="110" spans="2:14" ht="15" thickBot="1">
      <c r="B110" s="13" t="s">
        <v>1029</v>
      </c>
      <c r="C110" s="14">
        <v>1.5</v>
      </c>
      <c r="D110" s="15">
        <v>2</v>
      </c>
      <c r="E110" s="14">
        <v>10</v>
      </c>
      <c r="F110" s="28">
        <v>16</v>
      </c>
      <c r="G110" s="136">
        <v>20</v>
      </c>
      <c r="H110" s="27">
        <v>50</v>
      </c>
      <c r="I110" s="28">
        <v>2900</v>
      </c>
      <c r="J110" s="38" t="s">
        <v>707</v>
      </c>
      <c r="K110" s="39">
        <v>38</v>
      </c>
      <c r="L110" s="40">
        <v>5.0363951999999997E-2</v>
      </c>
      <c r="M110" s="78">
        <v>477.30899999999991</v>
      </c>
      <c r="N110" s="78">
        <v>441.96600000000001</v>
      </c>
    </row>
    <row r="111" spans="2:14" ht="15" thickBot="1">
      <c r="B111" s="13" t="s">
        <v>1030</v>
      </c>
      <c r="C111" s="14">
        <v>1.5</v>
      </c>
      <c r="D111" s="15">
        <v>2</v>
      </c>
      <c r="E111" s="14">
        <v>15</v>
      </c>
      <c r="F111" s="28">
        <v>15</v>
      </c>
      <c r="G111" s="136">
        <v>20</v>
      </c>
      <c r="H111" s="27">
        <v>50</v>
      </c>
      <c r="I111" s="28">
        <v>2900</v>
      </c>
      <c r="J111" s="38" t="s">
        <v>707</v>
      </c>
      <c r="K111" s="39">
        <v>38</v>
      </c>
      <c r="L111" s="40">
        <v>5.0363951999999997E-2</v>
      </c>
      <c r="M111" s="78">
        <v>477.30899999999991</v>
      </c>
      <c r="N111" s="78">
        <v>441.96600000000001</v>
      </c>
    </row>
    <row r="112" spans="2:14" ht="15" thickBot="1">
      <c r="B112" s="13" t="s">
        <v>1031</v>
      </c>
      <c r="C112" s="14">
        <v>1.5</v>
      </c>
      <c r="D112" s="15">
        <v>2</v>
      </c>
      <c r="E112" s="14">
        <v>20</v>
      </c>
      <c r="F112" s="28">
        <v>10</v>
      </c>
      <c r="G112" s="136">
        <v>18</v>
      </c>
      <c r="H112" s="27">
        <v>65</v>
      </c>
      <c r="I112" s="28">
        <v>2900</v>
      </c>
      <c r="J112" s="38" t="s">
        <v>707</v>
      </c>
      <c r="K112" s="39">
        <v>40</v>
      </c>
      <c r="L112" s="40">
        <v>5.0363951999999997E-2</v>
      </c>
      <c r="M112" s="78">
        <v>498.37199999999996</v>
      </c>
      <c r="N112" s="78">
        <v>461.60100000000006</v>
      </c>
    </row>
    <row r="113" spans="2:14" ht="15" thickBot="1">
      <c r="B113" s="13" t="s">
        <v>1032</v>
      </c>
      <c r="C113" s="14">
        <v>1.5</v>
      </c>
      <c r="D113" s="15">
        <v>2</v>
      </c>
      <c r="E113" s="14">
        <v>40</v>
      </c>
      <c r="F113" s="28">
        <v>7</v>
      </c>
      <c r="G113" s="136">
        <v>14</v>
      </c>
      <c r="H113" s="27">
        <v>80</v>
      </c>
      <c r="I113" s="28">
        <v>2900</v>
      </c>
      <c r="J113" s="38" t="s">
        <v>707</v>
      </c>
      <c r="K113" s="39">
        <v>42</v>
      </c>
      <c r="L113" s="40">
        <v>5.8604363E-2</v>
      </c>
      <c r="M113" s="78">
        <v>519.79200000000003</v>
      </c>
      <c r="N113" s="78">
        <v>481.2360000000001</v>
      </c>
    </row>
    <row r="114" spans="2:14" ht="15" thickBot="1">
      <c r="B114" s="13" t="s">
        <v>1033</v>
      </c>
      <c r="C114" s="14">
        <v>1.5</v>
      </c>
      <c r="D114" s="15">
        <v>2</v>
      </c>
      <c r="E114" s="14">
        <v>50</v>
      </c>
      <c r="F114" s="28">
        <v>5</v>
      </c>
      <c r="G114" s="136">
        <v>13</v>
      </c>
      <c r="H114" s="27">
        <v>100</v>
      </c>
      <c r="I114" s="28">
        <v>2900</v>
      </c>
      <c r="J114" s="38" t="s">
        <v>707</v>
      </c>
      <c r="K114" s="39">
        <v>44</v>
      </c>
      <c r="L114" s="40">
        <v>5.8604363E-2</v>
      </c>
      <c r="M114" s="78">
        <v>540.85500000000002</v>
      </c>
      <c r="N114" s="78">
        <v>500.87100000000009</v>
      </c>
    </row>
    <row r="115" spans="2:14" ht="15" thickBot="1">
      <c r="B115" s="13" t="s">
        <v>1034</v>
      </c>
      <c r="C115" s="14">
        <v>2.2000000000000002</v>
      </c>
      <c r="D115" s="15">
        <v>3</v>
      </c>
      <c r="E115" s="14">
        <v>9</v>
      </c>
      <c r="F115" s="28">
        <v>22</v>
      </c>
      <c r="G115" s="136">
        <v>25</v>
      </c>
      <c r="H115" s="27">
        <v>50</v>
      </c>
      <c r="I115" s="28">
        <v>2900</v>
      </c>
      <c r="J115" s="38" t="s">
        <v>707</v>
      </c>
      <c r="K115" s="39">
        <v>42</v>
      </c>
      <c r="L115" s="40">
        <v>5.6975273999999999E-2</v>
      </c>
      <c r="M115" s="78"/>
      <c r="N115" s="78">
        <v>494.44499999999999</v>
      </c>
    </row>
    <row r="116" spans="2:14" ht="15" thickBot="1">
      <c r="B116" s="13" t="s">
        <v>1035</v>
      </c>
      <c r="C116" s="14">
        <v>2.2000000000000002</v>
      </c>
      <c r="D116" s="15">
        <v>3</v>
      </c>
      <c r="E116" s="14">
        <v>15</v>
      </c>
      <c r="F116" s="28">
        <v>20</v>
      </c>
      <c r="G116" s="136">
        <v>25</v>
      </c>
      <c r="H116" s="27">
        <v>50</v>
      </c>
      <c r="I116" s="28">
        <v>2900</v>
      </c>
      <c r="J116" s="38" t="s">
        <v>707</v>
      </c>
      <c r="K116" s="39">
        <v>42</v>
      </c>
      <c r="L116" s="40">
        <v>5.6975273999999999E-2</v>
      </c>
      <c r="M116" s="78"/>
      <c r="N116" s="78">
        <v>494.44499999999999</v>
      </c>
    </row>
    <row r="117" spans="2:14" ht="15" thickBot="1">
      <c r="B117" s="13" t="s">
        <v>1036</v>
      </c>
      <c r="C117" s="14">
        <v>2.2000000000000002</v>
      </c>
      <c r="D117" s="15">
        <v>3</v>
      </c>
      <c r="E117" s="14">
        <v>20</v>
      </c>
      <c r="F117" s="28">
        <v>15</v>
      </c>
      <c r="G117" s="136">
        <v>23</v>
      </c>
      <c r="H117" s="27">
        <v>65</v>
      </c>
      <c r="I117" s="28">
        <v>2900</v>
      </c>
      <c r="J117" s="38" t="s">
        <v>707</v>
      </c>
      <c r="K117" s="39">
        <v>44</v>
      </c>
      <c r="L117" s="40">
        <v>5.9972400000000002E-2</v>
      </c>
      <c r="M117" s="78"/>
      <c r="N117" s="78">
        <v>507.65399999999994</v>
      </c>
    </row>
    <row r="118" spans="2:14" ht="15" thickBot="1">
      <c r="B118" s="13" t="s">
        <v>1037</v>
      </c>
      <c r="C118" s="14">
        <v>2.2000000000000002</v>
      </c>
      <c r="D118" s="15">
        <v>3</v>
      </c>
      <c r="E118" s="14">
        <v>40</v>
      </c>
      <c r="F118" s="28">
        <v>10</v>
      </c>
      <c r="G118" s="136">
        <v>17.600000000000001</v>
      </c>
      <c r="H118" s="27">
        <v>80</v>
      </c>
      <c r="I118" s="28">
        <v>2900</v>
      </c>
      <c r="J118" s="38" t="s">
        <v>707</v>
      </c>
      <c r="K118" s="39">
        <v>47</v>
      </c>
      <c r="L118" s="40">
        <v>6.9793151999999997E-2</v>
      </c>
      <c r="M118" s="78"/>
      <c r="N118" s="78">
        <v>527.28899999999999</v>
      </c>
    </row>
    <row r="119" spans="2:14" ht="15" thickBot="1">
      <c r="B119" s="13" t="s">
        <v>1038</v>
      </c>
      <c r="C119" s="14">
        <v>2.2000000000000002</v>
      </c>
      <c r="D119" s="15">
        <v>3</v>
      </c>
      <c r="E119" s="14">
        <v>50</v>
      </c>
      <c r="F119" s="28">
        <v>7</v>
      </c>
      <c r="G119" s="136">
        <v>16</v>
      </c>
      <c r="H119" s="27">
        <v>100</v>
      </c>
      <c r="I119" s="28">
        <v>2900</v>
      </c>
      <c r="J119" s="38" t="s">
        <v>707</v>
      </c>
      <c r="K119" s="39">
        <v>51</v>
      </c>
      <c r="L119" s="40">
        <v>8.4348000000000006E-2</v>
      </c>
      <c r="M119" s="78"/>
      <c r="N119" s="78">
        <v>546.92399999999998</v>
      </c>
    </row>
    <row r="120" spans="2:14" ht="15" thickBot="1">
      <c r="B120" s="13" t="s">
        <v>1039</v>
      </c>
      <c r="C120" s="14">
        <v>3</v>
      </c>
      <c r="D120" s="15">
        <v>4</v>
      </c>
      <c r="E120" s="14">
        <v>15</v>
      </c>
      <c r="F120" s="28">
        <v>25</v>
      </c>
      <c r="G120" s="136">
        <v>30</v>
      </c>
      <c r="H120" s="27">
        <v>50</v>
      </c>
      <c r="I120" s="28">
        <v>2900</v>
      </c>
      <c r="J120" s="38" t="s">
        <v>707</v>
      </c>
      <c r="K120" s="39">
        <v>50</v>
      </c>
      <c r="L120" s="40">
        <v>6.6487039999999997E-2</v>
      </c>
      <c r="M120" s="78"/>
      <c r="N120" s="78">
        <v>572.98500000000001</v>
      </c>
    </row>
    <row r="121" spans="2:14" ht="15" thickBot="1">
      <c r="B121" s="13" t="s">
        <v>1040</v>
      </c>
      <c r="C121" s="14">
        <v>3</v>
      </c>
      <c r="D121" s="15">
        <v>4</v>
      </c>
      <c r="E121" s="14">
        <v>25</v>
      </c>
      <c r="F121" s="28">
        <v>18</v>
      </c>
      <c r="G121" s="136">
        <v>28</v>
      </c>
      <c r="H121" s="27">
        <v>65</v>
      </c>
      <c r="I121" s="28">
        <v>2900</v>
      </c>
      <c r="J121" s="38" t="s">
        <v>707</v>
      </c>
      <c r="K121" s="39">
        <v>51</v>
      </c>
      <c r="L121" s="40">
        <v>7.0341120000000007E-2</v>
      </c>
      <c r="M121" s="78"/>
      <c r="N121" s="78">
        <v>586.19399999999996</v>
      </c>
    </row>
    <row r="122" spans="2:14" ht="15" thickBot="1">
      <c r="B122" s="13" t="s">
        <v>1041</v>
      </c>
      <c r="C122" s="14">
        <v>3</v>
      </c>
      <c r="D122" s="15">
        <v>4</v>
      </c>
      <c r="E122" s="14">
        <v>37</v>
      </c>
      <c r="F122" s="28">
        <v>13</v>
      </c>
      <c r="G122" s="136">
        <v>28</v>
      </c>
      <c r="H122" s="27">
        <v>65</v>
      </c>
      <c r="I122" s="28">
        <v>2900</v>
      </c>
      <c r="J122" s="38" t="s">
        <v>707</v>
      </c>
      <c r="K122" s="39">
        <v>51</v>
      </c>
      <c r="L122" s="40">
        <v>7.0341120000000007E-2</v>
      </c>
      <c r="M122" s="78"/>
      <c r="N122" s="78">
        <v>586.19399999999996</v>
      </c>
    </row>
    <row r="123" spans="2:14" ht="15" thickBot="1">
      <c r="B123" s="13" t="s">
        <v>1042</v>
      </c>
      <c r="C123" s="14">
        <v>3</v>
      </c>
      <c r="D123" s="15">
        <v>4</v>
      </c>
      <c r="E123" s="14">
        <v>45</v>
      </c>
      <c r="F123" s="28">
        <v>12</v>
      </c>
      <c r="G123" s="136">
        <v>20.3</v>
      </c>
      <c r="H123" s="27">
        <v>80</v>
      </c>
      <c r="I123" s="28">
        <v>2900</v>
      </c>
      <c r="J123" s="38" t="s">
        <v>707</v>
      </c>
      <c r="K123" s="39">
        <v>54</v>
      </c>
      <c r="L123" s="40">
        <v>8.3397600000000002E-2</v>
      </c>
      <c r="M123" s="78"/>
      <c r="N123" s="78">
        <v>605.82899999999995</v>
      </c>
    </row>
    <row r="124" spans="2:14" ht="15" thickBot="1">
      <c r="B124" s="13" t="s">
        <v>1043</v>
      </c>
      <c r="C124" s="14">
        <v>3</v>
      </c>
      <c r="D124" s="15">
        <v>4</v>
      </c>
      <c r="E124" s="14">
        <v>43</v>
      </c>
      <c r="F124" s="28">
        <v>13</v>
      </c>
      <c r="G124" s="136">
        <v>20.3</v>
      </c>
      <c r="H124" s="27">
        <v>80</v>
      </c>
      <c r="I124" s="28">
        <v>2900</v>
      </c>
      <c r="J124" s="38" t="s">
        <v>707</v>
      </c>
      <c r="K124" s="39">
        <v>54</v>
      </c>
      <c r="L124" s="40">
        <v>8.3397600000000002E-2</v>
      </c>
      <c r="M124" s="78"/>
      <c r="N124" s="78">
        <v>605.82899999999995</v>
      </c>
    </row>
    <row r="125" spans="2:14" ht="15" thickBot="1">
      <c r="B125" s="13" t="s">
        <v>1044</v>
      </c>
      <c r="C125" s="14">
        <v>3</v>
      </c>
      <c r="D125" s="15">
        <v>4</v>
      </c>
      <c r="E125" s="14">
        <v>60</v>
      </c>
      <c r="F125" s="28">
        <v>9</v>
      </c>
      <c r="G125" s="136">
        <v>20.3</v>
      </c>
      <c r="H125" s="27">
        <v>100</v>
      </c>
      <c r="I125" s="28">
        <v>2900</v>
      </c>
      <c r="J125" s="38" t="s">
        <v>707</v>
      </c>
      <c r="K125" s="39">
        <v>55</v>
      </c>
      <c r="L125" s="40">
        <v>8.5999999999999993E-2</v>
      </c>
      <c r="M125" s="78"/>
      <c r="N125" s="78">
        <v>618.68100000000004</v>
      </c>
    </row>
    <row r="126" spans="2:14" ht="15" thickBot="1">
      <c r="B126" s="13" t="s">
        <v>1045</v>
      </c>
      <c r="C126" s="14">
        <v>4</v>
      </c>
      <c r="D126" s="15">
        <v>5.5</v>
      </c>
      <c r="E126" s="14">
        <v>15</v>
      </c>
      <c r="F126" s="28">
        <v>30</v>
      </c>
      <c r="G126" s="136">
        <v>36</v>
      </c>
      <c r="H126" s="27">
        <v>50</v>
      </c>
      <c r="I126" s="28">
        <v>2900</v>
      </c>
      <c r="J126" s="38" t="s">
        <v>707</v>
      </c>
      <c r="K126" s="39">
        <v>65</v>
      </c>
      <c r="L126" s="40">
        <v>6.9104639999999995E-2</v>
      </c>
      <c r="M126" s="78"/>
      <c r="N126" s="78">
        <v>798.60899999999992</v>
      </c>
    </row>
    <row r="127" spans="2:14" ht="15" thickBot="1">
      <c r="B127" s="13" t="s">
        <v>1046</v>
      </c>
      <c r="C127" s="14">
        <v>4</v>
      </c>
      <c r="D127" s="15">
        <v>5.5</v>
      </c>
      <c r="E127" s="14">
        <v>25</v>
      </c>
      <c r="F127" s="28">
        <v>25</v>
      </c>
      <c r="G127" s="136">
        <v>34</v>
      </c>
      <c r="H127" s="27">
        <v>65</v>
      </c>
      <c r="I127" s="28">
        <v>2900</v>
      </c>
      <c r="J127" s="38" t="s">
        <v>707</v>
      </c>
      <c r="K127" s="39">
        <v>67</v>
      </c>
      <c r="L127" s="40">
        <v>7.3088820000000013E-2</v>
      </c>
      <c r="M127" s="78"/>
      <c r="N127" s="78">
        <v>798.60899999999992</v>
      </c>
    </row>
    <row r="128" spans="2:14" ht="15" thickBot="1">
      <c r="B128" s="13" t="s">
        <v>1047</v>
      </c>
      <c r="C128" s="14">
        <v>4</v>
      </c>
      <c r="D128" s="15">
        <v>5.5</v>
      </c>
      <c r="E128" s="14">
        <v>40</v>
      </c>
      <c r="F128" s="28">
        <v>16</v>
      </c>
      <c r="G128" s="136">
        <v>23.5</v>
      </c>
      <c r="H128" s="27">
        <v>80</v>
      </c>
      <c r="I128" s="28">
        <v>2900</v>
      </c>
      <c r="J128" s="38" t="s">
        <v>707</v>
      </c>
      <c r="K128" s="39">
        <v>70</v>
      </c>
      <c r="L128" s="40">
        <v>8.6615100000000014E-2</v>
      </c>
      <c r="M128" s="78"/>
      <c r="N128" s="78">
        <v>811.46100000000013</v>
      </c>
    </row>
    <row r="129" spans="2:14" ht="15" thickBot="1">
      <c r="B129" s="13" t="s">
        <v>1048</v>
      </c>
      <c r="C129" s="14">
        <v>4</v>
      </c>
      <c r="D129" s="15">
        <v>5.5</v>
      </c>
      <c r="E129" s="14">
        <v>60</v>
      </c>
      <c r="F129" s="28">
        <v>12</v>
      </c>
      <c r="G129" s="136">
        <v>24</v>
      </c>
      <c r="H129" s="27">
        <v>100</v>
      </c>
      <c r="I129" s="28">
        <v>2900</v>
      </c>
      <c r="J129" s="38" t="s">
        <v>707</v>
      </c>
      <c r="K129" s="39">
        <v>73</v>
      </c>
      <c r="L129" s="40">
        <v>0.10301147999999997</v>
      </c>
      <c r="M129" s="78"/>
      <c r="N129" s="78">
        <v>831.09600000000012</v>
      </c>
    </row>
    <row r="130" spans="2:14" ht="15" thickBot="1">
      <c r="B130" s="13" t="s">
        <v>1049</v>
      </c>
      <c r="C130" s="14">
        <v>4</v>
      </c>
      <c r="D130" s="15">
        <v>5.5</v>
      </c>
      <c r="E130" s="14">
        <v>80</v>
      </c>
      <c r="F130" s="28">
        <v>10</v>
      </c>
      <c r="G130" s="136">
        <v>24</v>
      </c>
      <c r="H130" s="27">
        <v>100</v>
      </c>
      <c r="I130" s="28">
        <v>2900</v>
      </c>
      <c r="J130" s="38" t="s">
        <v>707</v>
      </c>
      <c r="K130" s="39">
        <v>73</v>
      </c>
      <c r="L130" s="40">
        <v>0.10301147999999997</v>
      </c>
      <c r="M130" s="78"/>
      <c r="N130" s="78">
        <v>831.09600000000012</v>
      </c>
    </row>
    <row r="131" spans="2:14" ht="15" thickBot="1">
      <c r="B131" s="13" t="s">
        <v>1050</v>
      </c>
      <c r="C131" s="14">
        <v>5.5</v>
      </c>
      <c r="D131" s="15">
        <v>7.5</v>
      </c>
      <c r="E131" s="14">
        <v>20</v>
      </c>
      <c r="F131" s="28">
        <v>35</v>
      </c>
      <c r="G131" s="136">
        <v>45</v>
      </c>
      <c r="H131" s="27">
        <v>50</v>
      </c>
      <c r="I131" s="28">
        <v>2900</v>
      </c>
      <c r="J131" s="38" t="s">
        <v>707</v>
      </c>
      <c r="K131" s="39">
        <v>102</v>
      </c>
      <c r="L131" s="40">
        <v>9.5325229999999997E-2</v>
      </c>
      <c r="M131" s="78"/>
      <c r="N131" s="78">
        <v>909.63600000000008</v>
      </c>
    </row>
    <row r="132" spans="2:14" ht="15" thickBot="1">
      <c r="B132" s="13" t="s">
        <v>1051</v>
      </c>
      <c r="C132" s="14">
        <v>5.5</v>
      </c>
      <c r="D132" s="15">
        <v>7.5</v>
      </c>
      <c r="E132" s="14">
        <v>25</v>
      </c>
      <c r="F132" s="28">
        <v>30</v>
      </c>
      <c r="G132" s="136">
        <v>40</v>
      </c>
      <c r="H132" s="27">
        <v>65</v>
      </c>
      <c r="I132" s="28">
        <v>2900</v>
      </c>
      <c r="J132" s="38" t="s">
        <v>707</v>
      </c>
      <c r="K132" s="39">
        <v>104</v>
      </c>
      <c r="L132" s="40">
        <v>0.10501983999999999</v>
      </c>
      <c r="M132" s="78"/>
      <c r="N132" s="78">
        <v>922.84500000000003</v>
      </c>
    </row>
    <row r="133" spans="2:14" ht="15" thickBot="1">
      <c r="B133" s="13" t="s">
        <v>1052</v>
      </c>
      <c r="C133" s="14">
        <v>5.5</v>
      </c>
      <c r="D133" s="15">
        <v>7.5</v>
      </c>
      <c r="E133" s="14">
        <v>40</v>
      </c>
      <c r="F133" s="28">
        <v>22</v>
      </c>
      <c r="G133" s="136">
        <v>29</v>
      </c>
      <c r="H133" s="27">
        <v>80</v>
      </c>
      <c r="I133" s="28">
        <v>2900</v>
      </c>
      <c r="J133" s="38" t="s">
        <v>707</v>
      </c>
      <c r="K133" s="39">
        <v>108</v>
      </c>
      <c r="L133" s="40">
        <v>0.12039569999999999</v>
      </c>
      <c r="M133" s="78"/>
      <c r="N133" s="78">
        <v>929.27100000000007</v>
      </c>
    </row>
    <row r="134" spans="2:14" ht="15" thickBot="1">
      <c r="B134" s="13" t="s">
        <v>1053</v>
      </c>
      <c r="C134" s="14">
        <v>5.5</v>
      </c>
      <c r="D134" s="15">
        <v>7.5</v>
      </c>
      <c r="E134" s="14">
        <v>60</v>
      </c>
      <c r="F134" s="28">
        <v>18</v>
      </c>
      <c r="G134" s="136">
        <v>28</v>
      </c>
      <c r="H134" s="27">
        <v>100</v>
      </c>
      <c r="I134" s="28">
        <v>2900</v>
      </c>
      <c r="J134" s="38" t="s">
        <v>707</v>
      </c>
      <c r="K134" s="39">
        <v>114</v>
      </c>
      <c r="L134" s="40">
        <v>0.13498884000000003</v>
      </c>
      <c r="M134" s="78"/>
      <c r="N134" s="78">
        <v>942.48</v>
      </c>
    </row>
    <row r="135" spans="2:14" ht="15" thickBot="1">
      <c r="B135" s="13" t="s">
        <v>2548</v>
      </c>
      <c r="C135" s="14">
        <v>5.5</v>
      </c>
      <c r="D135" s="15">
        <v>7.5</v>
      </c>
      <c r="E135" s="14">
        <v>100</v>
      </c>
      <c r="F135" s="28">
        <v>8</v>
      </c>
      <c r="G135" s="136">
        <v>20</v>
      </c>
      <c r="H135" s="27">
        <v>150</v>
      </c>
      <c r="I135" s="28">
        <v>2900</v>
      </c>
      <c r="J135" s="38" t="s">
        <v>707</v>
      </c>
      <c r="K135" s="39">
        <v>121</v>
      </c>
      <c r="L135" s="40">
        <v>0.16334531200000002</v>
      </c>
      <c r="M135" s="78"/>
      <c r="N135" s="78">
        <v>975.32399999999996</v>
      </c>
    </row>
    <row r="136" spans="2:14" ht="15" thickBot="1">
      <c r="B136" s="13" t="s">
        <v>1054</v>
      </c>
      <c r="C136" s="14">
        <v>7.5</v>
      </c>
      <c r="D136" s="15">
        <v>10</v>
      </c>
      <c r="E136" s="14">
        <v>20</v>
      </c>
      <c r="F136" s="28">
        <v>42</v>
      </c>
      <c r="G136" s="136">
        <v>51</v>
      </c>
      <c r="H136" s="27">
        <v>50</v>
      </c>
      <c r="I136" s="28">
        <v>2900</v>
      </c>
      <c r="J136" s="38" t="s">
        <v>707</v>
      </c>
      <c r="K136" s="39">
        <v>127</v>
      </c>
      <c r="L136" s="40">
        <v>0.171378688</v>
      </c>
      <c r="M136" s="78"/>
      <c r="N136" s="78">
        <v>1217.3700000000001</v>
      </c>
    </row>
    <row r="137" spans="2:14" ht="15" thickBot="1">
      <c r="B137" s="13" t="s">
        <v>1055</v>
      </c>
      <c r="C137" s="14">
        <v>7.5</v>
      </c>
      <c r="D137" s="15">
        <v>10</v>
      </c>
      <c r="E137" s="14">
        <v>25</v>
      </c>
      <c r="F137" s="28">
        <v>36</v>
      </c>
      <c r="G137" s="136">
        <v>45</v>
      </c>
      <c r="H137" s="27">
        <v>65</v>
      </c>
      <c r="I137" s="28">
        <v>2900</v>
      </c>
      <c r="J137" s="38" t="s">
        <v>707</v>
      </c>
      <c r="K137" s="39">
        <v>130</v>
      </c>
      <c r="L137" s="40">
        <v>0.171378688</v>
      </c>
      <c r="M137" s="78"/>
      <c r="N137" s="78">
        <v>1217.3700000000001</v>
      </c>
    </row>
    <row r="138" spans="2:14" ht="15" thickBot="1">
      <c r="B138" s="13" t="s">
        <v>1056</v>
      </c>
      <c r="C138" s="14">
        <v>7.5</v>
      </c>
      <c r="D138" s="15">
        <v>10</v>
      </c>
      <c r="E138" s="14">
        <v>40</v>
      </c>
      <c r="F138" s="28">
        <v>28</v>
      </c>
      <c r="G138" s="136">
        <v>34</v>
      </c>
      <c r="H138" s="27">
        <v>80</v>
      </c>
      <c r="I138" s="28">
        <v>2900</v>
      </c>
      <c r="J138" s="38" t="s">
        <v>707</v>
      </c>
      <c r="K138" s="39">
        <v>142</v>
      </c>
      <c r="L138" s="40">
        <v>0.171378688</v>
      </c>
      <c r="M138" s="78"/>
      <c r="N138" s="78">
        <v>1237.0050000000001</v>
      </c>
    </row>
    <row r="139" spans="2:14" ht="15" thickBot="1">
      <c r="B139" s="13" t="s">
        <v>1057</v>
      </c>
      <c r="C139" s="14">
        <v>7.5</v>
      </c>
      <c r="D139" s="15">
        <v>10</v>
      </c>
      <c r="E139" s="14">
        <v>65</v>
      </c>
      <c r="F139" s="28">
        <v>22</v>
      </c>
      <c r="G139" s="136">
        <v>28</v>
      </c>
      <c r="H139" s="27">
        <v>100</v>
      </c>
      <c r="I139" s="28">
        <v>2900</v>
      </c>
      <c r="J139" s="38" t="s">
        <v>707</v>
      </c>
      <c r="K139" s="39">
        <v>150</v>
      </c>
      <c r="L139" s="40">
        <v>0.171378688</v>
      </c>
      <c r="M139" s="78"/>
      <c r="N139" s="78">
        <v>1269.8490000000002</v>
      </c>
    </row>
    <row r="140" spans="2:14" ht="15" thickBot="1">
      <c r="B140" s="13" t="s">
        <v>2549</v>
      </c>
      <c r="C140" s="14">
        <v>7.5</v>
      </c>
      <c r="D140" s="15">
        <v>10</v>
      </c>
      <c r="E140" s="14">
        <v>100</v>
      </c>
      <c r="F140" s="28">
        <v>12</v>
      </c>
      <c r="G140" s="136">
        <v>23</v>
      </c>
      <c r="H140" s="27">
        <v>150</v>
      </c>
      <c r="I140" s="28">
        <v>2900</v>
      </c>
      <c r="J140" s="38" t="s">
        <v>707</v>
      </c>
      <c r="K140" s="39">
        <v>152</v>
      </c>
      <c r="L140" s="40">
        <v>0.171378688</v>
      </c>
      <c r="M140" s="78"/>
      <c r="N140" s="78">
        <v>1302.336</v>
      </c>
    </row>
    <row r="141" spans="2:14" ht="15" thickBot="1">
      <c r="B141" s="13" t="s">
        <v>1058</v>
      </c>
      <c r="C141" s="14">
        <v>11</v>
      </c>
      <c r="D141" s="15">
        <v>15</v>
      </c>
      <c r="E141" s="14">
        <v>20</v>
      </c>
      <c r="F141" s="28">
        <v>55</v>
      </c>
      <c r="G141" s="136">
        <v>64</v>
      </c>
      <c r="H141" s="27">
        <v>50</v>
      </c>
      <c r="I141" s="28">
        <v>2900</v>
      </c>
      <c r="J141" s="38" t="s">
        <v>707</v>
      </c>
      <c r="K141" s="39">
        <v>196</v>
      </c>
      <c r="L141" s="40">
        <v>0.22387199999999999</v>
      </c>
      <c r="M141" s="78"/>
      <c r="N141" s="78">
        <v>1788.213</v>
      </c>
    </row>
    <row r="142" spans="2:14" ht="15" thickBot="1">
      <c r="B142" s="13" t="s">
        <v>1059</v>
      </c>
      <c r="C142" s="14">
        <v>11</v>
      </c>
      <c r="D142" s="15">
        <v>15</v>
      </c>
      <c r="E142" s="14">
        <v>30</v>
      </c>
      <c r="F142" s="28">
        <v>40</v>
      </c>
      <c r="G142" s="136">
        <v>56</v>
      </c>
      <c r="H142" s="27">
        <v>65</v>
      </c>
      <c r="I142" s="28">
        <v>2900</v>
      </c>
      <c r="J142" s="38" t="s">
        <v>707</v>
      </c>
      <c r="K142" s="39">
        <v>199</v>
      </c>
      <c r="L142" s="40">
        <v>0.22387199999999999</v>
      </c>
      <c r="M142" s="78"/>
      <c r="N142" s="78">
        <v>1788.213</v>
      </c>
    </row>
    <row r="143" spans="2:14" ht="15" thickBot="1">
      <c r="B143" s="13" t="s">
        <v>1060</v>
      </c>
      <c r="C143" s="14">
        <v>11</v>
      </c>
      <c r="D143" s="15">
        <v>15</v>
      </c>
      <c r="E143" s="14">
        <v>60</v>
      </c>
      <c r="F143" s="28">
        <v>30</v>
      </c>
      <c r="G143" s="136">
        <v>48</v>
      </c>
      <c r="H143" s="27">
        <v>80</v>
      </c>
      <c r="I143" s="28">
        <v>2900</v>
      </c>
      <c r="J143" s="38" t="s">
        <v>707</v>
      </c>
      <c r="K143" s="39">
        <v>201</v>
      </c>
      <c r="L143" s="40">
        <v>0.22387199999999999</v>
      </c>
      <c r="M143" s="78"/>
      <c r="N143" s="78">
        <v>1831.7670000000003</v>
      </c>
    </row>
    <row r="144" spans="2:14" ht="15" thickBot="1">
      <c r="B144" s="13" t="s">
        <v>1061</v>
      </c>
      <c r="C144" s="14">
        <v>11</v>
      </c>
      <c r="D144" s="15">
        <v>15</v>
      </c>
      <c r="E144" s="14">
        <v>80</v>
      </c>
      <c r="F144" s="28">
        <v>25</v>
      </c>
      <c r="G144" s="136">
        <v>38</v>
      </c>
      <c r="H144" s="27">
        <v>100</v>
      </c>
      <c r="I144" s="28">
        <v>2900</v>
      </c>
      <c r="J144" s="38" t="s">
        <v>707</v>
      </c>
      <c r="K144" s="39">
        <v>203</v>
      </c>
      <c r="L144" s="40">
        <v>0.22387199999999999</v>
      </c>
      <c r="M144" s="78"/>
      <c r="N144" s="78">
        <v>1831.7670000000003</v>
      </c>
    </row>
    <row r="145" spans="2:14" ht="15" thickBot="1">
      <c r="B145" s="13" t="s">
        <v>1062</v>
      </c>
      <c r="C145" s="14">
        <v>11</v>
      </c>
      <c r="D145" s="15">
        <v>15</v>
      </c>
      <c r="E145" s="14">
        <v>100</v>
      </c>
      <c r="F145" s="28">
        <v>20</v>
      </c>
      <c r="G145" s="136">
        <v>32</v>
      </c>
      <c r="H145" s="27">
        <v>150</v>
      </c>
      <c r="I145" s="28">
        <v>2900</v>
      </c>
      <c r="J145" s="38" t="s">
        <v>707</v>
      </c>
      <c r="K145" s="39">
        <v>208</v>
      </c>
      <c r="L145" s="40">
        <v>0.22387199999999999</v>
      </c>
      <c r="M145" s="78"/>
      <c r="N145" s="78">
        <v>1969.2120000000002</v>
      </c>
    </row>
    <row r="146" spans="2:14" ht="15" thickBot="1">
      <c r="B146" s="13" t="s">
        <v>1063</v>
      </c>
      <c r="C146" s="14">
        <v>11</v>
      </c>
      <c r="D146" s="15">
        <v>15</v>
      </c>
      <c r="E146" s="14">
        <v>120</v>
      </c>
      <c r="F146" s="28">
        <v>15</v>
      </c>
      <c r="G146" s="136">
        <v>32</v>
      </c>
      <c r="H146" s="27">
        <v>150</v>
      </c>
      <c r="I146" s="28">
        <v>2900</v>
      </c>
      <c r="J146" s="38" t="s">
        <v>707</v>
      </c>
      <c r="K146" s="39">
        <v>208</v>
      </c>
      <c r="L146" s="40">
        <v>0.22387199999999999</v>
      </c>
      <c r="M146" s="78"/>
      <c r="N146" s="78">
        <v>1969.2120000000002</v>
      </c>
    </row>
    <row r="147" spans="2:14" ht="15" thickBot="1">
      <c r="B147" s="13" t="s">
        <v>1064</v>
      </c>
      <c r="C147" s="14">
        <v>11</v>
      </c>
      <c r="D147" s="15">
        <v>15</v>
      </c>
      <c r="E147" s="14">
        <v>180</v>
      </c>
      <c r="F147" s="28">
        <v>11</v>
      </c>
      <c r="G147" s="136">
        <v>23</v>
      </c>
      <c r="H147" s="27">
        <v>200</v>
      </c>
      <c r="I147" s="28">
        <v>2900</v>
      </c>
      <c r="J147" s="38" t="s">
        <v>707</v>
      </c>
      <c r="K147" s="39">
        <v>217</v>
      </c>
      <c r="L147" s="40">
        <v>0.22387199999999999</v>
      </c>
      <c r="M147" s="78"/>
      <c r="N147" s="78">
        <v>2063.817</v>
      </c>
    </row>
    <row r="148" spans="2:14" ht="15" thickBot="1">
      <c r="B148" s="13" t="s">
        <v>1065</v>
      </c>
      <c r="C148" s="14">
        <v>15</v>
      </c>
      <c r="D148" s="15">
        <v>20</v>
      </c>
      <c r="E148" s="14">
        <v>20</v>
      </c>
      <c r="F148" s="28">
        <v>70</v>
      </c>
      <c r="G148" s="136">
        <v>76</v>
      </c>
      <c r="H148" s="27">
        <v>50</v>
      </c>
      <c r="I148" s="28">
        <v>2900</v>
      </c>
      <c r="J148" s="38" t="s">
        <v>707</v>
      </c>
      <c r="K148" s="39">
        <v>217</v>
      </c>
      <c r="L148" s="40">
        <v>0.23319999999999999</v>
      </c>
      <c r="M148" s="78"/>
      <c r="N148" s="78">
        <v>1954.9320000000002</v>
      </c>
    </row>
    <row r="149" spans="2:14" ht="15" thickBot="1">
      <c r="B149" s="13" t="s">
        <v>1066</v>
      </c>
      <c r="C149" s="14">
        <v>15</v>
      </c>
      <c r="D149" s="15">
        <v>20</v>
      </c>
      <c r="E149" s="14">
        <v>30</v>
      </c>
      <c r="F149" s="28">
        <v>60</v>
      </c>
      <c r="G149" s="136">
        <v>78</v>
      </c>
      <c r="H149" s="27">
        <v>65</v>
      </c>
      <c r="I149" s="28">
        <v>2900</v>
      </c>
      <c r="J149" s="38" t="s">
        <v>707</v>
      </c>
      <c r="K149" s="39">
        <v>218</v>
      </c>
      <c r="L149" s="40">
        <v>0.23319999999999999</v>
      </c>
      <c r="M149" s="78"/>
      <c r="N149" s="78">
        <v>1954.9320000000002</v>
      </c>
    </row>
    <row r="150" spans="2:14" ht="15" thickBot="1">
      <c r="B150" s="13" t="s">
        <v>1067</v>
      </c>
      <c r="C150" s="14">
        <v>15</v>
      </c>
      <c r="D150" s="15">
        <v>20</v>
      </c>
      <c r="E150" s="14">
        <v>60</v>
      </c>
      <c r="F150" s="28">
        <v>40</v>
      </c>
      <c r="G150" s="136">
        <v>53</v>
      </c>
      <c r="H150" s="27">
        <v>80</v>
      </c>
      <c r="I150" s="28">
        <v>2900</v>
      </c>
      <c r="J150" s="38" t="s">
        <v>707</v>
      </c>
      <c r="K150" s="39">
        <v>220</v>
      </c>
      <c r="L150" s="40">
        <v>0.23319999999999999</v>
      </c>
      <c r="M150" s="78"/>
      <c r="N150" s="78">
        <v>1998.4859999999996</v>
      </c>
    </row>
    <row r="151" spans="2:14" ht="15" thickBot="1">
      <c r="B151" s="13" t="s">
        <v>1068</v>
      </c>
      <c r="C151" s="14">
        <v>15</v>
      </c>
      <c r="D151" s="15">
        <v>20</v>
      </c>
      <c r="E151" s="14">
        <v>80</v>
      </c>
      <c r="F151" s="28">
        <v>35</v>
      </c>
      <c r="G151" s="136">
        <v>46</v>
      </c>
      <c r="H151" s="27">
        <v>100</v>
      </c>
      <c r="I151" s="28">
        <v>2900</v>
      </c>
      <c r="J151" s="38" t="s">
        <v>707</v>
      </c>
      <c r="K151" s="39">
        <v>221</v>
      </c>
      <c r="L151" s="40">
        <v>0.23319999999999999</v>
      </c>
      <c r="M151" s="78"/>
      <c r="N151" s="78">
        <v>1998.4859999999996</v>
      </c>
    </row>
    <row r="152" spans="2:14" ht="15" thickBot="1">
      <c r="B152" s="13" t="s">
        <v>1069</v>
      </c>
      <c r="C152" s="14">
        <v>15</v>
      </c>
      <c r="D152" s="15">
        <v>20</v>
      </c>
      <c r="E152" s="14">
        <v>100</v>
      </c>
      <c r="F152" s="28">
        <v>30</v>
      </c>
      <c r="G152" s="136">
        <v>42</v>
      </c>
      <c r="H152" s="27">
        <v>150</v>
      </c>
      <c r="I152" s="28">
        <v>2900</v>
      </c>
      <c r="J152" s="38" t="s">
        <v>707</v>
      </c>
      <c r="K152" s="39">
        <v>222</v>
      </c>
      <c r="L152" s="40">
        <v>0.23319999999999999</v>
      </c>
      <c r="M152" s="78"/>
      <c r="N152" s="78">
        <v>2129.1480000000001</v>
      </c>
    </row>
    <row r="153" spans="2:14" ht="15" thickBot="1">
      <c r="B153" s="13" t="s">
        <v>1070</v>
      </c>
      <c r="C153" s="14">
        <v>15</v>
      </c>
      <c r="D153" s="15">
        <v>20</v>
      </c>
      <c r="E153" s="14">
        <v>120</v>
      </c>
      <c r="F153" s="28">
        <v>25</v>
      </c>
      <c r="G153" s="136">
        <v>42</v>
      </c>
      <c r="H153" s="27">
        <v>150</v>
      </c>
      <c r="I153" s="28">
        <v>2900</v>
      </c>
      <c r="J153" s="38" t="s">
        <v>707</v>
      </c>
      <c r="K153" s="39">
        <v>224</v>
      </c>
      <c r="L153" s="40">
        <v>0.23319999999999999</v>
      </c>
      <c r="M153" s="78"/>
      <c r="N153" s="78">
        <v>2129.1480000000001</v>
      </c>
    </row>
    <row r="154" spans="2:14" ht="15" thickBot="1">
      <c r="B154" s="13" t="s">
        <v>1071</v>
      </c>
      <c r="C154" s="14">
        <v>15</v>
      </c>
      <c r="D154" s="15">
        <v>20</v>
      </c>
      <c r="E154" s="14">
        <v>180</v>
      </c>
      <c r="F154" s="28">
        <v>15</v>
      </c>
      <c r="G154" s="136">
        <v>28</v>
      </c>
      <c r="H154" s="27">
        <v>200</v>
      </c>
      <c r="I154" s="28">
        <v>2900</v>
      </c>
      <c r="J154" s="38" t="s">
        <v>707</v>
      </c>
      <c r="K154" s="39">
        <v>226</v>
      </c>
      <c r="L154" s="40">
        <v>0.23319999999999999</v>
      </c>
      <c r="M154" s="78"/>
      <c r="N154" s="78">
        <v>2222.6819999999998</v>
      </c>
    </row>
    <row r="155" spans="2:14" ht="15" thickBot="1">
      <c r="B155" s="13" t="s">
        <v>2550</v>
      </c>
      <c r="C155" s="14">
        <v>18.5</v>
      </c>
      <c r="D155" s="15">
        <v>25</v>
      </c>
      <c r="E155" s="14">
        <v>20</v>
      </c>
      <c r="F155" s="28">
        <v>75</v>
      </c>
      <c r="G155" s="136">
        <v>83</v>
      </c>
      <c r="H155" s="27">
        <v>50</v>
      </c>
      <c r="I155" s="28">
        <v>2900</v>
      </c>
      <c r="J155" s="38" t="s">
        <v>707</v>
      </c>
      <c r="K155" s="39">
        <v>229</v>
      </c>
      <c r="L155" s="40">
        <v>0.23813999999999999</v>
      </c>
      <c r="M155" s="78"/>
      <c r="N155" s="78">
        <v>2461.8719999999998</v>
      </c>
    </row>
    <row r="156" spans="2:14" ht="15" thickBot="1">
      <c r="B156" s="13" t="s">
        <v>2551</v>
      </c>
      <c r="C156" s="14">
        <v>18.5</v>
      </c>
      <c r="D156" s="15">
        <v>25</v>
      </c>
      <c r="E156" s="14">
        <v>30</v>
      </c>
      <c r="F156" s="28">
        <v>65</v>
      </c>
      <c r="G156" s="136">
        <v>78</v>
      </c>
      <c r="H156" s="27">
        <v>65</v>
      </c>
      <c r="I156" s="28">
        <v>2900</v>
      </c>
      <c r="J156" s="38" t="s">
        <v>707</v>
      </c>
      <c r="K156" s="39">
        <v>232</v>
      </c>
      <c r="L156" s="40">
        <v>0.23813999999999999</v>
      </c>
      <c r="M156" s="78"/>
      <c r="N156" s="78">
        <v>2461.8719999999998</v>
      </c>
    </row>
    <row r="157" spans="2:14" ht="15" thickBot="1">
      <c r="B157" s="13" t="s">
        <v>1072</v>
      </c>
      <c r="C157" s="14">
        <v>18.5</v>
      </c>
      <c r="D157" s="15">
        <v>25</v>
      </c>
      <c r="E157" s="14">
        <v>60</v>
      </c>
      <c r="F157" s="28">
        <v>45</v>
      </c>
      <c r="G157" s="136">
        <v>62</v>
      </c>
      <c r="H157" s="27">
        <v>80</v>
      </c>
      <c r="I157" s="28">
        <v>2900</v>
      </c>
      <c r="J157" s="38" t="s">
        <v>707</v>
      </c>
      <c r="K157" s="39">
        <v>233</v>
      </c>
      <c r="L157" s="40">
        <v>0.23813999999999999</v>
      </c>
      <c r="M157" s="78"/>
      <c r="N157" s="78">
        <v>2548.623</v>
      </c>
    </row>
    <row r="158" spans="2:14" ht="15" thickBot="1">
      <c r="B158" s="13" t="s">
        <v>1073</v>
      </c>
      <c r="C158" s="14">
        <v>18.5</v>
      </c>
      <c r="D158" s="15">
        <v>25</v>
      </c>
      <c r="E158" s="14">
        <v>80</v>
      </c>
      <c r="F158" s="28">
        <v>40</v>
      </c>
      <c r="G158" s="136">
        <v>50</v>
      </c>
      <c r="H158" s="27">
        <v>100</v>
      </c>
      <c r="I158" s="28">
        <v>2900</v>
      </c>
      <c r="J158" s="38" t="s">
        <v>707</v>
      </c>
      <c r="K158" s="39">
        <v>237</v>
      </c>
      <c r="L158" s="40">
        <v>0.23813999999999999</v>
      </c>
      <c r="M158" s="78"/>
      <c r="N158" s="78">
        <v>2548.623</v>
      </c>
    </row>
    <row r="159" spans="2:14" ht="15" thickBot="1">
      <c r="B159" s="13" t="s">
        <v>1074</v>
      </c>
      <c r="C159" s="14">
        <v>18.5</v>
      </c>
      <c r="D159" s="15">
        <v>25</v>
      </c>
      <c r="E159" s="14">
        <v>100</v>
      </c>
      <c r="F159" s="28">
        <v>36</v>
      </c>
      <c r="G159" s="136">
        <v>46</v>
      </c>
      <c r="H159" s="27">
        <v>150</v>
      </c>
      <c r="I159" s="28">
        <v>2900</v>
      </c>
      <c r="J159" s="38" t="s">
        <v>707</v>
      </c>
      <c r="K159" s="39">
        <v>239</v>
      </c>
      <c r="L159" s="40">
        <v>0.23813999999999999</v>
      </c>
      <c r="M159" s="78"/>
      <c r="N159" s="78">
        <v>2628.2340000000004</v>
      </c>
    </row>
    <row r="160" spans="2:14" ht="15" thickBot="1">
      <c r="B160" s="13" t="s">
        <v>1075</v>
      </c>
      <c r="C160" s="14">
        <v>18.5</v>
      </c>
      <c r="D160" s="15">
        <v>25</v>
      </c>
      <c r="E160" s="14">
        <v>180</v>
      </c>
      <c r="F160" s="28">
        <v>18</v>
      </c>
      <c r="G160" s="136">
        <v>32</v>
      </c>
      <c r="H160" s="27">
        <v>200</v>
      </c>
      <c r="I160" s="28">
        <v>2900</v>
      </c>
      <c r="J160" s="38" t="s">
        <v>707</v>
      </c>
      <c r="K160" s="39">
        <v>242</v>
      </c>
      <c r="L160" s="40">
        <v>0.23813999999999999</v>
      </c>
      <c r="M160" s="78"/>
      <c r="N160" s="78">
        <v>2751.3990000000003</v>
      </c>
    </row>
    <row r="161" spans="2:14" ht="15" thickBot="1">
      <c r="B161" s="13" t="s">
        <v>2552</v>
      </c>
      <c r="C161" s="14">
        <v>22</v>
      </c>
      <c r="D161" s="15">
        <v>30</v>
      </c>
      <c r="E161" s="14">
        <v>20</v>
      </c>
      <c r="F161" s="28">
        <v>80</v>
      </c>
      <c r="G161" s="136">
        <v>92</v>
      </c>
      <c r="H161" s="27">
        <v>50</v>
      </c>
      <c r="I161" s="28">
        <v>2900</v>
      </c>
      <c r="J161" s="38" t="s">
        <v>707</v>
      </c>
      <c r="K161" s="39">
        <v>293</v>
      </c>
      <c r="L161" s="40">
        <v>0.30359999999999998</v>
      </c>
      <c r="M161" s="78"/>
      <c r="N161" s="78">
        <v>2628.2340000000004</v>
      </c>
    </row>
    <row r="162" spans="2:14" ht="15" thickBot="1">
      <c r="B162" s="13" t="s">
        <v>1076</v>
      </c>
      <c r="C162" s="14">
        <v>22</v>
      </c>
      <c r="D162" s="15">
        <v>30</v>
      </c>
      <c r="E162" s="14">
        <v>30</v>
      </c>
      <c r="F162" s="28">
        <v>75</v>
      </c>
      <c r="G162" s="136">
        <v>91</v>
      </c>
      <c r="H162" s="27">
        <v>65</v>
      </c>
      <c r="I162" s="28">
        <v>2900</v>
      </c>
      <c r="J162" s="38" t="s">
        <v>707</v>
      </c>
      <c r="K162" s="39">
        <v>296</v>
      </c>
      <c r="L162" s="40">
        <v>0.30359999999999998</v>
      </c>
      <c r="M162" s="78"/>
      <c r="N162" s="78">
        <v>2628.2340000000004</v>
      </c>
    </row>
    <row r="163" spans="2:14" ht="15" thickBot="1">
      <c r="B163" s="13" t="s">
        <v>1077</v>
      </c>
      <c r="C163" s="14">
        <v>22</v>
      </c>
      <c r="D163" s="15">
        <v>30</v>
      </c>
      <c r="E163" s="14">
        <v>60</v>
      </c>
      <c r="F163" s="28">
        <v>50</v>
      </c>
      <c r="G163" s="136">
        <v>58</v>
      </c>
      <c r="H163" s="27">
        <v>80</v>
      </c>
      <c r="I163" s="28">
        <v>2900</v>
      </c>
      <c r="J163" s="38" t="s">
        <v>707</v>
      </c>
      <c r="K163" s="39">
        <v>298</v>
      </c>
      <c r="L163" s="40">
        <v>0.30359999999999998</v>
      </c>
      <c r="M163" s="78"/>
      <c r="N163" s="78">
        <v>2715.3420000000001</v>
      </c>
    </row>
    <row r="164" spans="2:14" ht="15" thickBot="1">
      <c r="B164" s="13" t="s">
        <v>1078</v>
      </c>
      <c r="C164" s="14">
        <v>22</v>
      </c>
      <c r="D164" s="15">
        <v>30</v>
      </c>
      <c r="E164" s="14">
        <v>80</v>
      </c>
      <c r="F164" s="28">
        <v>45</v>
      </c>
      <c r="G164" s="136">
        <v>60</v>
      </c>
      <c r="H164" s="27">
        <v>100</v>
      </c>
      <c r="I164" s="28">
        <v>2900</v>
      </c>
      <c r="J164" s="38" t="s">
        <v>707</v>
      </c>
      <c r="K164" s="39">
        <v>300</v>
      </c>
      <c r="L164" s="40">
        <v>0.30359999999999998</v>
      </c>
      <c r="M164" s="78"/>
      <c r="N164" s="78">
        <v>2715.3420000000001</v>
      </c>
    </row>
    <row r="165" spans="2:14" ht="15" thickBot="1">
      <c r="B165" s="13" t="s">
        <v>1079</v>
      </c>
      <c r="C165" s="14">
        <v>22</v>
      </c>
      <c r="D165" s="15">
        <v>30</v>
      </c>
      <c r="E165" s="14">
        <v>100</v>
      </c>
      <c r="F165" s="28">
        <v>40</v>
      </c>
      <c r="G165" s="136">
        <v>52</v>
      </c>
      <c r="H165" s="27">
        <v>150</v>
      </c>
      <c r="I165" s="28">
        <v>2900</v>
      </c>
      <c r="J165" s="38" t="s">
        <v>707</v>
      </c>
      <c r="K165" s="39">
        <v>303</v>
      </c>
      <c r="L165" s="40">
        <v>0.30359999999999998</v>
      </c>
      <c r="M165" s="78"/>
      <c r="N165" s="78">
        <v>2787.8130000000001</v>
      </c>
    </row>
    <row r="166" spans="2:14" ht="15" thickBot="1">
      <c r="B166" s="13" t="s">
        <v>1080</v>
      </c>
      <c r="C166" s="14">
        <v>22</v>
      </c>
      <c r="D166" s="15">
        <v>30</v>
      </c>
      <c r="E166" s="14">
        <v>200</v>
      </c>
      <c r="F166" s="28">
        <v>20</v>
      </c>
      <c r="G166" s="136">
        <v>38</v>
      </c>
      <c r="H166" s="27">
        <v>200</v>
      </c>
      <c r="I166" s="28">
        <v>2900</v>
      </c>
      <c r="J166" s="38" t="s">
        <v>707</v>
      </c>
      <c r="K166" s="39">
        <v>306</v>
      </c>
      <c r="L166" s="40">
        <v>0.30359999999999998</v>
      </c>
      <c r="M166" s="78"/>
      <c r="N166" s="78">
        <v>2910.9780000000001</v>
      </c>
    </row>
    <row r="167" spans="2:14" ht="15" thickBot="1">
      <c r="B167" s="13" t="s">
        <v>2553</v>
      </c>
      <c r="C167" s="14">
        <v>5.5</v>
      </c>
      <c r="D167" s="15">
        <v>7.5</v>
      </c>
      <c r="E167" s="14">
        <v>60</v>
      </c>
      <c r="F167" s="28">
        <v>12</v>
      </c>
      <c r="G167" s="136">
        <v>17.8</v>
      </c>
      <c r="H167" s="27">
        <v>80</v>
      </c>
      <c r="I167" s="28">
        <v>1450</v>
      </c>
      <c r="J167" s="38" t="s">
        <v>707</v>
      </c>
      <c r="K167" s="39">
        <v>127</v>
      </c>
      <c r="L167" s="40">
        <v>0.106488</v>
      </c>
      <c r="M167" s="78"/>
      <c r="N167" s="78">
        <v>1556.8770000000002</v>
      </c>
    </row>
    <row r="168" spans="2:14" ht="15" thickBot="1">
      <c r="B168" s="13" t="s">
        <v>2554</v>
      </c>
      <c r="C168" s="14">
        <v>5.5</v>
      </c>
      <c r="D168" s="15">
        <v>7.5</v>
      </c>
      <c r="E168" s="14">
        <v>90</v>
      </c>
      <c r="F168" s="28">
        <v>10</v>
      </c>
      <c r="G168" s="136">
        <v>17</v>
      </c>
      <c r="H168" s="27">
        <v>100</v>
      </c>
      <c r="I168" s="28">
        <v>1450</v>
      </c>
      <c r="J168" s="38" t="s">
        <v>707</v>
      </c>
      <c r="K168" s="39">
        <v>130</v>
      </c>
      <c r="L168" s="40">
        <v>0.106488</v>
      </c>
      <c r="M168" s="78"/>
      <c r="N168" s="78">
        <v>1556.8770000000002</v>
      </c>
    </row>
    <row r="169" spans="2:14" ht="15" thickBot="1">
      <c r="B169" s="13" t="s">
        <v>2555</v>
      </c>
      <c r="C169" s="14">
        <v>5.5</v>
      </c>
      <c r="D169" s="15">
        <v>7.5</v>
      </c>
      <c r="E169" s="14">
        <v>140</v>
      </c>
      <c r="F169" s="28">
        <v>7</v>
      </c>
      <c r="G169" s="136">
        <v>16.5</v>
      </c>
      <c r="H169" s="27">
        <v>150</v>
      </c>
      <c r="I169" s="28">
        <v>1450</v>
      </c>
      <c r="J169" s="38" t="s">
        <v>707</v>
      </c>
      <c r="K169" s="39">
        <v>133</v>
      </c>
      <c r="L169" s="40">
        <v>0.106488</v>
      </c>
      <c r="M169" s="78"/>
      <c r="N169" s="78">
        <v>1628.991</v>
      </c>
    </row>
    <row r="170" spans="2:14" ht="15" thickBot="1">
      <c r="B170" s="13" t="s">
        <v>2556</v>
      </c>
      <c r="C170" s="14">
        <v>7.5</v>
      </c>
      <c r="D170" s="15">
        <v>10</v>
      </c>
      <c r="E170" s="14">
        <v>60</v>
      </c>
      <c r="F170" s="28">
        <v>20</v>
      </c>
      <c r="G170" s="136">
        <v>32</v>
      </c>
      <c r="H170" s="27">
        <v>80</v>
      </c>
      <c r="I170" s="28">
        <v>1450</v>
      </c>
      <c r="J170" s="38" t="s">
        <v>707</v>
      </c>
      <c r="K170" s="39">
        <v>137</v>
      </c>
      <c r="L170" s="40">
        <v>0.106488</v>
      </c>
      <c r="M170" s="78"/>
      <c r="N170" s="78">
        <v>1752.1559999999999</v>
      </c>
    </row>
    <row r="171" spans="2:14" ht="15" thickBot="1">
      <c r="B171" s="13" t="s">
        <v>1081</v>
      </c>
      <c r="C171" s="14">
        <v>7.5</v>
      </c>
      <c r="D171" s="15">
        <v>10</v>
      </c>
      <c r="E171" s="14">
        <v>100</v>
      </c>
      <c r="F171" s="28">
        <v>15</v>
      </c>
      <c r="G171" s="136">
        <v>26</v>
      </c>
      <c r="H171" s="27">
        <v>100</v>
      </c>
      <c r="I171" s="28">
        <v>1450</v>
      </c>
      <c r="J171" s="38" t="s">
        <v>707</v>
      </c>
      <c r="K171" s="39">
        <v>140</v>
      </c>
      <c r="L171" s="40">
        <v>0.106488</v>
      </c>
      <c r="M171" s="78"/>
      <c r="N171" s="78">
        <v>1752.1559999999999</v>
      </c>
    </row>
    <row r="172" spans="2:14" ht="15" thickBot="1">
      <c r="B172" s="13" t="s">
        <v>1082</v>
      </c>
      <c r="C172" s="14">
        <v>7.5</v>
      </c>
      <c r="D172" s="15">
        <v>10</v>
      </c>
      <c r="E172" s="14">
        <v>145</v>
      </c>
      <c r="F172" s="28">
        <v>9</v>
      </c>
      <c r="G172" s="136">
        <v>18.2</v>
      </c>
      <c r="H172" s="27">
        <v>150</v>
      </c>
      <c r="I172" s="28">
        <v>1450</v>
      </c>
      <c r="J172" s="38" t="s">
        <v>707</v>
      </c>
      <c r="K172" s="39">
        <v>143</v>
      </c>
      <c r="L172" s="40">
        <v>0.106488</v>
      </c>
      <c r="M172" s="78"/>
      <c r="N172" s="78">
        <v>1788.213</v>
      </c>
    </row>
    <row r="173" spans="2:14" ht="15" thickBot="1">
      <c r="B173" s="13" t="s">
        <v>2557</v>
      </c>
      <c r="C173" s="14">
        <v>7.5</v>
      </c>
      <c r="D173" s="15">
        <v>10</v>
      </c>
      <c r="E173" s="14">
        <v>220</v>
      </c>
      <c r="F173" s="28">
        <v>6</v>
      </c>
      <c r="G173" s="136">
        <v>13.8</v>
      </c>
      <c r="H173" s="27">
        <v>200</v>
      </c>
      <c r="I173" s="28">
        <v>1450</v>
      </c>
      <c r="J173" s="38" t="s">
        <v>707</v>
      </c>
      <c r="K173" s="39">
        <v>147</v>
      </c>
      <c r="L173" s="40">
        <v>0.106488</v>
      </c>
      <c r="M173" s="78"/>
      <c r="N173" s="78">
        <v>2078.0970000000002</v>
      </c>
    </row>
    <row r="174" spans="2:14" ht="15" thickBot="1">
      <c r="B174" s="13" t="s">
        <v>2558</v>
      </c>
      <c r="C174" s="14">
        <v>11</v>
      </c>
      <c r="D174" s="15">
        <v>15</v>
      </c>
      <c r="E174" s="14">
        <v>100</v>
      </c>
      <c r="F174" s="28">
        <v>22</v>
      </c>
      <c r="G174" s="136">
        <v>28</v>
      </c>
      <c r="H174" s="27">
        <v>100</v>
      </c>
      <c r="I174" s="28">
        <v>1450</v>
      </c>
      <c r="J174" s="38" t="s">
        <v>707</v>
      </c>
      <c r="K174" s="39">
        <v>206</v>
      </c>
      <c r="L174" s="40">
        <v>0.22906799999999999</v>
      </c>
      <c r="M174" s="78"/>
      <c r="N174" s="78">
        <v>2447.5920000000001</v>
      </c>
    </row>
    <row r="175" spans="2:14" ht="15" thickBot="1">
      <c r="B175" s="13" t="s">
        <v>1083</v>
      </c>
      <c r="C175" s="14">
        <v>11</v>
      </c>
      <c r="D175" s="15">
        <v>15</v>
      </c>
      <c r="E175" s="14">
        <v>180</v>
      </c>
      <c r="F175" s="28">
        <v>11</v>
      </c>
      <c r="G175" s="136">
        <v>20</v>
      </c>
      <c r="H175" s="27">
        <v>150</v>
      </c>
      <c r="I175" s="28">
        <v>1450</v>
      </c>
      <c r="J175" s="38" t="s">
        <v>707</v>
      </c>
      <c r="K175" s="39">
        <v>226</v>
      </c>
      <c r="L175" s="40">
        <v>0.22906799999999999</v>
      </c>
      <c r="M175" s="78"/>
      <c r="N175" s="78">
        <v>2592.1770000000001</v>
      </c>
    </row>
    <row r="176" spans="2:14" ht="15" thickBot="1">
      <c r="B176" s="13" t="s">
        <v>1084</v>
      </c>
      <c r="C176" s="14">
        <v>11</v>
      </c>
      <c r="D176" s="15">
        <v>15</v>
      </c>
      <c r="E176" s="14">
        <v>300</v>
      </c>
      <c r="F176" s="28">
        <v>7</v>
      </c>
      <c r="G176" s="136">
        <v>20</v>
      </c>
      <c r="H176" s="27">
        <v>200</v>
      </c>
      <c r="I176" s="28">
        <v>1450</v>
      </c>
      <c r="J176" s="38" t="s">
        <v>707</v>
      </c>
      <c r="K176" s="39">
        <v>241</v>
      </c>
      <c r="L176" s="40">
        <v>0.22906799999999999</v>
      </c>
      <c r="M176" s="78"/>
      <c r="N176" s="78">
        <v>2737.1190000000001</v>
      </c>
    </row>
    <row r="177" spans="2:14" ht="15" thickBot="1">
      <c r="B177" s="13" t="s">
        <v>1085</v>
      </c>
      <c r="C177" s="14">
        <v>11</v>
      </c>
      <c r="D177" s="15">
        <v>15</v>
      </c>
      <c r="E177" s="14">
        <v>400</v>
      </c>
      <c r="F177" s="28">
        <v>5</v>
      </c>
      <c r="G177" s="136">
        <v>13.5</v>
      </c>
      <c r="H177" s="27">
        <v>250</v>
      </c>
      <c r="I177" s="28">
        <v>1450</v>
      </c>
      <c r="J177" s="38" t="s">
        <v>707</v>
      </c>
      <c r="K177" s="39">
        <v>251</v>
      </c>
      <c r="L177" s="40">
        <v>0.22906799999999999</v>
      </c>
      <c r="M177" s="78"/>
      <c r="N177" s="78">
        <v>3244.0590000000002</v>
      </c>
    </row>
    <row r="178" spans="2:14" ht="15" thickBot="1">
      <c r="B178" s="13" t="s">
        <v>1086</v>
      </c>
      <c r="C178" s="14">
        <v>15</v>
      </c>
      <c r="D178" s="15">
        <v>20</v>
      </c>
      <c r="E178" s="14">
        <v>100</v>
      </c>
      <c r="F178" s="28">
        <v>30</v>
      </c>
      <c r="G178" s="136">
        <v>37</v>
      </c>
      <c r="H178" s="27">
        <v>100</v>
      </c>
      <c r="I178" s="28">
        <v>1450</v>
      </c>
      <c r="J178" s="38" t="s">
        <v>707</v>
      </c>
      <c r="K178" s="39">
        <v>232</v>
      </c>
      <c r="L178" s="40">
        <v>0.23813999999999999</v>
      </c>
      <c r="M178" s="78"/>
      <c r="N178" s="78">
        <v>2737.1190000000001</v>
      </c>
    </row>
    <row r="179" spans="2:14" ht="15" thickBot="1">
      <c r="B179" s="13" t="s">
        <v>1087</v>
      </c>
      <c r="C179" s="14">
        <v>15</v>
      </c>
      <c r="D179" s="15">
        <v>20</v>
      </c>
      <c r="E179" s="14">
        <v>200</v>
      </c>
      <c r="F179" s="28">
        <v>15</v>
      </c>
      <c r="G179" s="136">
        <v>23.5</v>
      </c>
      <c r="H179" s="27">
        <v>150</v>
      </c>
      <c r="I179" s="28">
        <v>1450</v>
      </c>
      <c r="J179" s="38" t="s">
        <v>707</v>
      </c>
      <c r="K179" s="39">
        <v>247</v>
      </c>
      <c r="L179" s="40">
        <v>0.23813999999999999</v>
      </c>
      <c r="M179" s="78"/>
      <c r="N179" s="78">
        <v>2881.7040000000002</v>
      </c>
    </row>
    <row r="180" spans="2:14" ht="15" thickBot="1">
      <c r="B180" s="13" t="s">
        <v>1088</v>
      </c>
      <c r="C180" s="14">
        <v>15</v>
      </c>
      <c r="D180" s="15">
        <v>20</v>
      </c>
      <c r="E180" s="14">
        <v>250</v>
      </c>
      <c r="F180" s="28">
        <v>11</v>
      </c>
      <c r="G180" s="136">
        <v>23</v>
      </c>
      <c r="H180" s="27">
        <v>200</v>
      </c>
      <c r="I180" s="28">
        <v>1450</v>
      </c>
      <c r="J180" s="38" t="s">
        <v>707</v>
      </c>
      <c r="K180" s="39">
        <v>257</v>
      </c>
      <c r="L180" s="40">
        <v>0.23813999999999999</v>
      </c>
      <c r="M180" s="78"/>
      <c r="N180" s="78">
        <v>3026.2890000000002</v>
      </c>
    </row>
    <row r="181" spans="2:14" ht="15" thickBot="1">
      <c r="B181" s="13" t="s">
        <v>2559</v>
      </c>
      <c r="C181" s="14">
        <v>15</v>
      </c>
      <c r="D181" s="15">
        <v>20</v>
      </c>
      <c r="E181" s="14">
        <v>450</v>
      </c>
      <c r="F181" s="28">
        <v>5</v>
      </c>
      <c r="G181" s="136">
        <v>16</v>
      </c>
      <c r="H181" s="27">
        <v>250</v>
      </c>
      <c r="I181" s="28">
        <v>1450</v>
      </c>
      <c r="J181" s="38" t="s">
        <v>707</v>
      </c>
      <c r="K181" s="39">
        <v>272</v>
      </c>
      <c r="L181" s="40">
        <v>0.23813999999999999</v>
      </c>
      <c r="M181" s="78"/>
      <c r="N181" s="78">
        <v>3461.1150000000002</v>
      </c>
    </row>
    <row r="182" spans="2:14" ht="15" thickBot="1">
      <c r="B182" s="13" t="s">
        <v>1089</v>
      </c>
      <c r="C182" s="14">
        <v>18.5</v>
      </c>
      <c r="D182" s="15">
        <v>25</v>
      </c>
      <c r="E182" s="14">
        <v>100</v>
      </c>
      <c r="F182" s="28">
        <v>35</v>
      </c>
      <c r="G182" s="136">
        <v>42.5</v>
      </c>
      <c r="H182" s="27">
        <v>100</v>
      </c>
      <c r="I182" s="28">
        <v>1450</v>
      </c>
      <c r="J182" s="38" t="s">
        <v>707</v>
      </c>
      <c r="K182" s="39">
        <v>302</v>
      </c>
      <c r="L182" s="40">
        <v>0.32016</v>
      </c>
      <c r="M182" s="78"/>
      <c r="N182" s="78">
        <v>3497.5290000000005</v>
      </c>
    </row>
    <row r="183" spans="2:14" ht="15" thickBot="1">
      <c r="B183" s="13" t="s">
        <v>1090</v>
      </c>
      <c r="C183" s="14">
        <v>18.5</v>
      </c>
      <c r="D183" s="15">
        <v>25</v>
      </c>
      <c r="E183" s="14">
        <v>180</v>
      </c>
      <c r="F183" s="28">
        <v>20</v>
      </c>
      <c r="G183" s="136">
        <v>26.5</v>
      </c>
      <c r="H183" s="27">
        <v>150</v>
      </c>
      <c r="I183" s="28">
        <v>1450</v>
      </c>
      <c r="J183" s="38" t="s">
        <v>707</v>
      </c>
      <c r="K183" s="39">
        <v>312</v>
      </c>
      <c r="L183" s="40">
        <v>0.32016</v>
      </c>
      <c r="M183" s="78"/>
      <c r="N183" s="78">
        <v>3642.1140000000005</v>
      </c>
    </row>
    <row r="184" spans="2:14" ht="15" thickBot="1">
      <c r="B184" s="13" t="s">
        <v>1091</v>
      </c>
      <c r="C184" s="14">
        <v>18.5</v>
      </c>
      <c r="D184" s="15">
        <v>25</v>
      </c>
      <c r="E184" s="14">
        <v>250</v>
      </c>
      <c r="F184" s="28">
        <v>15</v>
      </c>
      <c r="G184" s="136">
        <v>26</v>
      </c>
      <c r="H184" s="27">
        <v>200</v>
      </c>
      <c r="I184" s="28">
        <v>1450</v>
      </c>
      <c r="J184" s="38" t="s">
        <v>707</v>
      </c>
      <c r="K184" s="39">
        <v>322</v>
      </c>
      <c r="L184" s="40">
        <v>0.32016</v>
      </c>
      <c r="M184" s="78"/>
      <c r="N184" s="78">
        <v>3786.6990000000005</v>
      </c>
    </row>
    <row r="185" spans="2:14" ht="15" thickBot="1">
      <c r="B185" s="13" t="s">
        <v>1092</v>
      </c>
      <c r="C185" s="14">
        <v>18.5</v>
      </c>
      <c r="D185" s="15">
        <v>25</v>
      </c>
      <c r="E185" s="14">
        <v>350</v>
      </c>
      <c r="F185" s="28">
        <v>10</v>
      </c>
      <c r="G185" s="136">
        <v>26</v>
      </c>
      <c r="H185" s="27">
        <v>200</v>
      </c>
      <c r="I185" s="28">
        <v>1450</v>
      </c>
      <c r="J185" s="38" t="s">
        <v>707</v>
      </c>
      <c r="K185" s="39">
        <v>322</v>
      </c>
      <c r="L185" s="40">
        <v>0.32016</v>
      </c>
      <c r="M185" s="78"/>
      <c r="N185" s="78">
        <v>3786.6990000000005</v>
      </c>
    </row>
    <row r="186" spans="2:14" ht="15" thickBot="1">
      <c r="B186" s="13" t="s">
        <v>1093</v>
      </c>
      <c r="C186" s="14">
        <v>18.5</v>
      </c>
      <c r="D186" s="15">
        <v>25</v>
      </c>
      <c r="E186" s="14">
        <v>500</v>
      </c>
      <c r="F186" s="28">
        <v>7</v>
      </c>
      <c r="G186" s="136">
        <v>19.8</v>
      </c>
      <c r="H186" s="27">
        <v>250</v>
      </c>
      <c r="I186" s="28">
        <v>1450</v>
      </c>
      <c r="J186" s="38" t="s">
        <v>707</v>
      </c>
      <c r="K186" s="39">
        <v>332</v>
      </c>
      <c r="L186" s="40">
        <v>0.32016</v>
      </c>
      <c r="M186" s="78"/>
      <c r="N186" s="78">
        <v>4149.0540000000001</v>
      </c>
    </row>
    <row r="187" spans="2:14" ht="15" thickBot="1">
      <c r="B187" s="13" t="s">
        <v>1094</v>
      </c>
      <c r="C187" s="14">
        <v>18.5</v>
      </c>
      <c r="D187" s="15">
        <v>25</v>
      </c>
      <c r="E187" s="14">
        <v>650</v>
      </c>
      <c r="F187" s="28">
        <v>5</v>
      </c>
      <c r="G187" s="136">
        <v>13</v>
      </c>
      <c r="H187" s="27">
        <v>300</v>
      </c>
      <c r="I187" s="28">
        <v>1450</v>
      </c>
      <c r="J187" s="38" t="s">
        <v>707</v>
      </c>
      <c r="K187" s="39">
        <v>342</v>
      </c>
      <c r="L187" s="40">
        <v>0.32016</v>
      </c>
      <c r="M187" s="78"/>
      <c r="N187" s="78">
        <v>4800.9360000000006</v>
      </c>
    </row>
    <row r="188" spans="2:14" ht="15" thickBot="1">
      <c r="B188" s="13" t="s">
        <v>1095</v>
      </c>
      <c r="C188" s="14">
        <v>22</v>
      </c>
      <c r="D188" s="15">
        <v>30</v>
      </c>
      <c r="E188" s="14">
        <v>100</v>
      </c>
      <c r="F188" s="28">
        <v>40</v>
      </c>
      <c r="G188" s="136">
        <v>47</v>
      </c>
      <c r="H188" s="27">
        <v>100</v>
      </c>
      <c r="I188" s="28">
        <v>1450</v>
      </c>
      <c r="J188" s="38" t="s">
        <v>707</v>
      </c>
      <c r="K188" s="39">
        <v>317</v>
      </c>
      <c r="L188" s="40">
        <v>0.32016</v>
      </c>
      <c r="M188" s="78"/>
      <c r="N188" s="78">
        <v>3714.585</v>
      </c>
    </row>
    <row r="189" spans="2:14" ht="15" thickBot="1">
      <c r="B189" s="13" t="s">
        <v>1096</v>
      </c>
      <c r="C189" s="14">
        <v>22</v>
      </c>
      <c r="D189" s="15">
        <v>30</v>
      </c>
      <c r="E189" s="14">
        <v>200</v>
      </c>
      <c r="F189" s="28">
        <v>22</v>
      </c>
      <c r="G189" s="136">
        <v>29</v>
      </c>
      <c r="H189" s="27">
        <v>150</v>
      </c>
      <c r="I189" s="28">
        <v>1450</v>
      </c>
      <c r="J189" s="38" t="s">
        <v>707</v>
      </c>
      <c r="K189" s="39">
        <v>322</v>
      </c>
      <c r="L189" s="40">
        <v>0.32016</v>
      </c>
      <c r="M189" s="78"/>
      <c r="N189" s="78">
        <v>3859.17</v>
      </c>
    </row>
    <row r="190" spans="2:14" ht="15" thickBot="1">
      <c r="B190" s="13" t="s">
        <v>1097</v>
      </c>
      <c r="C190" s="14">
        <v>22</v>
      </c>
      <c r="D190" s="15">
        <v>30</v>
      </c>
      <c r="E190" s="14">
        <v>300</v>
      </c>
      <c r="F190" s="28">
        <v>16</v>
      </c>
      <c r="G190" s="136">
        <v>30</v>
      </c>
      <c r="H190" s="27">
        <v>200</v>
      </c>
      <c r="I190" s="28">
        <v>1450</v>
      </c>
      <c r="J190" s="38" t="s">
        <v>707</v>
      </c>
      <c r="K190" s="39">
        <v>327</v>
      </c>
      <c r="L190" s="40">
        <v>0.32016</v>
      </c>
      <c r="M190" s="78"/>
      <c r="N190" s="78">
        <v>4003.7550000000001</v>
      </c>
    </row>
    <row r="191" spans="2:14" ht="15" thickBot="1">
      <c r="B191" s="13" t="s">
        <v>1098</v>
      </c>
      <c r="C191" s="14">
        <v>22</v>
      </c>
      <c r="D191" s="15">
        <v>30</v>
      </c>
      <c r="E191" s="14">
        <v>500</v>
      </c>
      <c r="F191" s="28">
        <v>9</v>
      </c>
      <c r="G191" s="136">
        <v>28.8</v>
      </c>
      <c r="H191" s="27">
        <v>250</v>
      </c>
      <c r="I191" s="28">
        <v>1450</v>
      </c>
      <c r="J191" s="38" t="s">
        <v>707</v>
      </c>
      <c r="K191" s="39">
        <v>342</v>
      </c>
      <c r="L191" s="40">
        <v>0.32016</v>
      </c>
      <c r="M191" s="78"/>
      <c r="N191" s="78">
        <v>4366.1099999999997</v>
      </c>
    </row>
    <row r="192" spans="2:14" ht="15" thickBot="1">
      <c r="B192" s="13" t="s">
        <v>2560</v>
      </c>
      <c r="C192" s="14">
        <v>22</v>
      </c>
      <c r="D192" s="15">
        <v>30</v>
      </c>
      <c r="E192" s="14">
        <v>600</v>
      </c>
      <c r="F192" s="28">
        <v>7</v>
      </c>
      <c r="G192" s="136">
        <v>15.3</v>
      </c>
      <c r="H192" s="27">
        <v>300</v>
      </c>
      <c r="I192" s="28">
        <v>1450</v>
      </c>
      <c r="J192" s="38" t="s">
        <v>707</v>
      </c>
      <c r="K192" s="39">
        <v>352</v>
      </c>
      <c r="L192" s="40">
        <v>0.32016</v>
      </c>
      <c r="M192" s="78"/>
      <c r="N192" s="78">
        <v>5017.9919999999993</v>
      </c>
    </row>
    <row r="193" spans="2:14" ht="15" thickBot="1">
      <c r="B193" s="13" t="s">
        <v>2561</v>
      </c>
      <c r="C193" s="14">
        <v>30</v>
      </c>
      <c r="D193" s="15">
        <v>40</v>
      </c>
      <c r="E193" s="14">
        <v>100</v>
      </c>
      <c r="F193" s="28">
        <v>45</v>
      </c>
      <c r="G193" s="136">
        <v>53</v>
      </c>
      <c r="H193" s="27">
        <v>100</v>
      </c>
      <c r="I193" s="28">
        <v>1450</v>
      </c>
      <c r="J193" s="38" t="s">
        <v>707</v>
      </c>
      <c r="K193" s="39">
        <v>459</v>
      </c>
      <c r="L193" s="40">
        <v>0.48262500000000003</v>
      </c>
      <c r="M193" s="78"/>
      <c r="N193" s="78">
        <v>5806.9619999999995</v>
      </c>
    </row>
    <row r="194" spans="2:14" ht="15" thickBot="1">
      <c r="B194" s="13" t="s">
        <v>1099</v>
      </c>
      <c r="C194" s="14">
        <v>30</v>
      </c>
      <c r="D194" s="15">
        <v>40</v>
      </c>
      <c r="E194" s="14">
        <v>180</v>
      </c>
      <c r="F194" s="28">
        <v>30</v>
      </c>
      <c r="G194" s="136">
        <v>38</v>
      </c>
      <c r="H194" s="27" t="s">
        <v>1100</v>
      </c>
      <c r="I194" s="28">
        <v>1450</v>
      </c>
      <c r="J194" s="38" t="s">
        <v>707</v>
      </c>
      <c r="K194" s="39">
        <v>470</v>
      </c>
      <c r="L194" s="40">
        <v>0.48262500000000003</v>
      </c>
      <c r="M194" s="78"/>
      <c r="N194" s="78">
        <v>5662.3769999999995</v>
      </c>
    </row>
    <row r="195" spans="2:14" ht="15" thickBot="1">
      <c r="B195" s="13" t="s">
        <v>1101</v>
      </c>
      <c r="C195" s="14">
        <v>30</v>
      </c>
      <c r="D195" s="15">
        <v>40</v>
      </c>
      <c r="E195" s="14">
        <v>250</v>
      </c>
      <c r="F195" s="28">
        <v>22</v>
      </c>
      <c r="G195" s="136">
        <v>32</v>
      </c>
      <c r="H195" s="27" t="s">
        <v>1102</v>
      </c>
      <c r="I195" s="28">
        <v>1450</v>
      </c>
      <c r="J195" s="38" t="s">
        <v>707</v>
      </c>
      <c r="K195" s="39">
        <v>484</v>
      </c>
      <c r="L195" s="40">
        <v>0.51556500000000005</v>
      </c>
      <c r="M195" s="78"/>
      <c r="N195" s="78">
        <v>5806.9619999999995</v>
      </c>
    </row>
    <row r="196" spans="2:14" ht="15" thickBot="1">
      <c r="B196" s="13" t="s">
        <v>1103</v>
      </c>
      <c r="C196" s="14">
        <v>30</v>
      </c>
      <c r="D196" s="15">
        <v>40</v>
      </c>
      <c r="E196" s="14">
        <v>500</v>
      </c>
      <c r="F196" s="28">
        <v>12</v>
      </c>
      <c r="G196" s="136">
        <v>25</v>
      </c>
      <c r="H196" s="27" t="s">
        <v>848</v>
      </c>
      <c r="I196" s="28">
        <v>1450</v>
      </c>
      <c r="J196" s="38" t="s">
        <v>707</v>
      </c>
      <c r="K196" s="39">
        <v>514</v>
      </c>
      <c r="L196" s="40">
        <v>0.56279999999999997</v>
      </c>
      <c r="M196" s="78"/>
      <c r="N196" s="78">
        <v>6096.8460000000005</v>
      </c>
    </row>
    <row r="197" spans="2:14" ht="15" thickBot="1">
      <c r="B197" s="13" t="s">
        <v>1104</v>
      </c>
      <c r="C197" s="14">
        <v>30</v>
      </c>
      <c r="D197" s="15">
        <v>40</v>
      </c>
      <c r="E197" s="14">
        <v>600</v>
      </c>
      <c r="F197" s="28">
        <v>9</v>
      </c>
      <c r="G197" s="136">
        <v>25</v>
      </c>
      <c r="H197" s="27" t="s">
        <v>848</v>
      </c>
      <c r="I197" s="28">
        <v>1450</v>
      </c>
      <c r="J197" s="38" t="s">
        <v>707</v>
      </c>
      <c r="K197" s="39">
        <v>514</v>
      </c>
      <c r="L197" s="40">
        <v>0.56279999999999997</v>
      </c>
      <c r="M197" s="78"/>
      <c r="N197" s="78">
        <v>6096.8460000000005</v>
      </c>
    </row>
    <row r="198" spans="2:14" ht="15" thickBot="1">
      <c r="B198" s="13" t="s">
        <v>2562</v>
      </c>
      <c r="C198" s="14">
        <v>30</v>
      </c>
      <c r="D198" s="15">
        <v>40</v>
      </c>
      <c r="E198" s="14">
        <v>750</v>
      </c>
      <c r="F198" s="28">
        <v>7</v>
      </c>
      <c r="G198" s="136">
        <v>21</v>
      </c>
      <c r="H198" s="27" t="s">
        <v>1105</v>
      </c>
      <c r="I198" s="28">
        <v>1450</v>
      </c>
      <c r="J198" s="38" t="s">
        <v>707</v>
      </c>
      <c r="K198" s="39">
        <v>519</v>
      </c>
      <c r="L198" s="40">
        <v>0.56279999999999997</v>
      </c>
      <c r="M198" s="78"/>
      <c r="N198" s="78">
        <v>6241.7880000000005</v>
      </c>
    </row>
    <row r="199" spans="2:14" ht="15" thickBot="1">
      <c r="B199" s="13" t="s">
        <v>1106</v>
      </c>
      <c r="C199" s="14">
        <v>30</v>
      </c>
      <c r="D199" s="15">
        <v>40</v>
      </c>
      <c r="E199" s="14">
        <v>1000</v>
      </c>
      <c r="F199" s="28">
        <v>6</v>
      </c>
      <c r="G199" s="136">
        <v>13</v>
      </c>
      <c r="H199" s="27" t="s">
        <v>1105</v>
      </c>
      <c r="I199" s="28">
        <v>980</v>
      </c>
      <c r="J199" s="38" t="s">
        <v>707</v>
      </c>
      <c r="K199" s="39">
        <v>939</v>
      </c>
      <c r="L199" s="40">
        <v>0.56279999999999997</v>
      </c>
      <c r="M199" s="78"/>
      <c r="N199" s="78">
        <v>9775.0169999999998</v>
      </c>
    </row>
    <row r="200" spans="2:14" ht="15" thickBot="1">
      <c r="B200" s="13" t="s">
        <v>1107</v>
      </c>
      <c r="C200" s="14">
        <v>30</v>
      </c>
      <c r="D200" s="15">
        <v>40</v>
      </c>
      <c r="E200" s="14">
        <v>1500</v>
      </c>
      <c r="F200" s="28">
        <v>4</v>
      </c>
      <c r="G200" s="136">
        <v>10.5</v>
      </c>
      <c r="H200" s="27" t="s">
        <v>850</v>
      </c>
      <c r="I200" s="28">
        <v>980</v>
      </c>
      <c r="J200" s="38" t="s">
        <v>707</v>
      </c>
      <c r="K200" s="39">
        <v>1019</v>
      </c>
      <c r="L200" s="40">
        <v>0.56279999999999997</v>
      </c>
      <c r="M200" s="78"/>
      <c r="N200" s="78">
        <v>10007.067000000001</v>
      </c>
    </row>
    <row r="201" spans="2:14" ht="15" thickBot="1">
      <c r="B201" s="13" t="s">
        <v>1108</v>
      </c>
      <c r="C201" s="14">
        <v>37</v>
      </c>
      <c r="D201" s="15">
        <v>50</v>
      </c>
      <c r="E201" s="14">
        <v>120</v>
      </c>
      <c r="F201" s="28">
        <v>50</v>
      </c>
      <c r="G201" s="136">
        <v>55</v>
      </c>
      <c r="H201" s="27" t="s">
        <v>849</v>
      </c>
      <c r="I201" s="28">
        <v>1450</v>
      </c>
      <c r="J201" s="38" t="s">
        <v>707</v>
      </c>
      <c r="K201" s="39">
        <v>515</v>
      </c>
      <c r="L201" s="40">
        <v>0.57486000000000004</v>
      </c>
      <c r="M201" s="157" t="s">
        <v>1260</v>
      </c>
      <c r="N201" s="157" t="s">
        <v>1260</v>
      </c>
    </row>
    <row r="202" spans="2:14" ht="15" thickBot="1">
      <c r="B202" s="13" t="s">
        <v>1109</v>
      </c>
      <c r="C202" s="14">
        <v>37</v>
      </c>
      <c r="D202" s="15">
        <v>50</v>
      </c>
      <c r="E202" s="14">
        <v>200</v>
      </c>
      <c r="F202" s="28">
        <v>35</v>
      </c>
      <c r="G202" s="136">
        <v>41</v>
      </c>
      <c r="H202" s="27" t="s">
        <v>1100</v>
      </c>
      <c r="I202" s="28">
        <v>1450</v>
      </c>
      <c r="J202" s="38" t="s">
        <v>707</v>
      </c>
      <c r="K202" s="39">
        <v>525</v>
      </c>
      <c r="L202" s="40">
        <v>0.57486000000000004</v>
      </c>
      <c r="M202" s="157" t="s">
        <v>1260</v>
      </c>
      <c r="N202" s="157" t="s">
        <v>1260</v>
      </c>
    </row>
    <row r="203" spans="2:14" ht="15" thickBot="1">
      <c r="B203" s="13" t="s">
        <v>1110</v>
      </c>
      <c r="C203" s="14">
        <v>37</v>
      </c>
      <c r="D203" s="15">
        <v>50</v>
      </c>
      <c r="E203" s="14">
        <v>300</v>
      </c>
      <c r="F203" s="28">
        <v>28</v>
      </c>
      <c r="G203" s="136">
        <v>38</v>
      </c>
      <c r="H203" s="27" t="s">
        <v>1102</v>
      </c>
      <c r="I203" s="28">
        <v>1450</v>
      </c>
      <c r="J203" s="38" t="s">
        <v>707</v>
      </c>
      <c r="K203" s="39">
        <v>540</v>
      </c>
      <c r="L203" s="40">
        <v>0.57486000000000004</v>
      </c>
      <c r="M203" s="157" t="s">
        <v>1260</v>
      </c>
      <c r="N203" s="157" t="s">
        <v>1260</v>
      </c>
    </row>
    <row r="204" spans="2:14" ht="15" thickBot="1">
      <c r="B204" s="13" t="s">
        <v>1111</v>
      </c>
      <c r="C204" s="14">
        <v>37</v>
      </c>
      <c r="D204" s="15">
        <v>50</v>
      </c>
      <c r="E204" s="14">
        <v>350</v>
      </c>
      <c r="F204" s="28">
        <v>25</v>
      </c>
      <c r="G204" s="136">
        <v>38</v>
      </c>
      <c r="H204" s="27" t="s">
        <v>1102</v>
      </c>
      <c r="I204" s="28">
        <v>1450</v>
      </c>
      <c r="J204" s="38" t="s">
        <v>707</v>
      </c>
      <c r="K204" s="39">
        <v>540</v>
      </c>
      <c r="L204" s="40">
        <v>0.57486000000000004</v>
      </c>
      <c r="M204" s="157" t="s">
        <v>1260</v>
      </c>
      <c r="N204" s="157" t="s">
        <v>1260</v>
      </c>
    </row>
    <row r="205" spans="2:14" ht="15" thickBot="1">
      <c r="B205" s="13" t="s">
        <v>1112</v>
      </c>
      <c r="C205" s="14">
        <v>37</v>
      </c>
      <c r="D205" s="15">
        <v>50</v>
      </c>
      <c r="E205" s="14">
        <v>600</v>
      </c>
      <c r="F205" s="28">
        <v>12</v>
      </c>
      <c r="G205" s="136">
        <v>28</v>
      </c>
      <c r="H205" s="27" t="s">
        <v>848</v>
      </c>
      <c r="I205" s="28">
        <v>1450</v>
      </c>
      <c r="J205" s="38" t="s">
        <v>707</v>
      </c>
      <c r="K205" s="39">
        <v>562</v>
      </c>
      <c r="L205" s="40">
        <v>0.57486000000000004</v>
      </c>
      <c r="M205" s="157" t="s">
        <v>1260</v>
      </c>
      <c r="N205" s="157" t="s">
        <v>1260</v>
      </c>
    </row>
    <row r="206" spans="2:14" ht="15" thickBot="1">
      <c r="B206" s="13" t="s">
        <v>2563</v>
      </c>
      <c r="C206" s="14">
        <v>37</v>
      </c>
      <c r="D206" s="15">
        <v>50</v>
      </c>
      <c r="E206" s="14">
        <v>700</v>
      </c>
      <c r="F206" s="28">
        <v>9</v>
      </c>
      <c r="G206" s="136">
        <v>23.5</v>
      </c>
      <c r="H206" s="27" t="s">
        <v>1105</v>
      </c>
      <c r="I206" s="28">
        <v>1450</v>
      </c>
      <c r="J206" s="38" t="s">
        <v>707</v>
      </c>
      <c r="K206" s="39">
        <v>570</v>
      </c>
      <c r="L206" s="40">
        <v>0.57486000000000004</v>
      </c>
      <c r="M206" s="157" t="s">
        <v>1260</v>
      </c>
      <c r="N206" s="157" t="s">
        <v>1260</v>
      </c>
    </row>
    <row r="207" spans="2:14" ht="15" thickBot="1">
      <c r="B207" s="13" t="s">
        <v>2564</v>
      </c>
      <c r="C207" s="14">
        <v>37</v>
      </c>
      <c r="D207" s="15">
        <v>50</v>
      </c>
      <c r="E207" s="14">
        <v>900</v>
      </c>
      <c r="F207" s="28">
        <v>6</v>
      </c>
      <c r="G207" s="136">
        <v>24</v>
      </c>
      <c r="H207" s="27" t="s">
        <v>850</v>
      </c>
      <c r="I207" s="28">
        <v>1450</v>
      </c>
      <c r="J207" s="38" t="s">
        <v>707</v>
      </c>
      <c r="K207" s="39">
        <v>580</v>
      </c>
      <c r="L207" s="40">
        <v>0.57486000000000004</v>
      </c>
      <c r="M207" s="157" t="s">
        <v>1260</v>
      </c>
      <c r="N207" s="157" t="s">
        <v>1260</v>
      </c>
    </row>
    <row r="208" spans="2:14" ht="15" thickBot="1">
      <c r="B208" s="13" t="s">
        <v>1113</v>
      </c>
      <c r="C208" s="14">
        <v>37</v>
      </c>
      <c r="D208" s="15">
        <v>50</v>
      </c>
      <c r="E208" s="14">
        <v>1100</v>
      </c>
      <c r="F208" s="28">
        <v>6</v>
      </c>
      <c r="G208" s="136">
        <v>15.5</v>
      </c>
      <c r="H208" s="27" t="s">
        <v>850</v>
      </c>
      <c r="I208" s="28">
        <v>980</v>
      </c>
      <c r="J208" s="38" t="s">
        <v>707</v>
      </c>
      <c r="K208" s="39">
        <v>1069</v>
      </c>
      <c r="L208" s="40">
        <v>0.98499999999999999</v>
      </c>
      <c r="M208" s="157" t="s">
        <v>1260</v>
      </c>
      <c r="N208" s="157" t="s">
        <v>1260</v>
      </c>
    </row>
    <row r="209" spans="2:14" ht="15" thickBot="1">
      <c r="B209" s="13" t="s">
        <v>1114</v>
      </c>
      <c r="C209" s="14">
        <v>45</v>
      </c>
      <c r="D209" s="15">
        <v>60</v>
      </c>
      <c r="E209" s="14">
        <v>100</v>
      </c>
      <c r="F209" s="28">
        <v>57</v>
      </c>
      <c r="G209" s="136">
        <v>63</v>
      </c>
      <c r="H209" s="27" t="s">
        <v>849</v>
      </c>
      <c r="I209" s="28">
        <v>1450</v>
      </c>
      <c r="J209" s="38" t="s">
        <v>707</v>
      </c>
      <c r="K209" s="39">
        <v>564</v>
      </c>
      <c r="L209" s="40">
        <v>0.77398400000000001</v>
      </c>
      <c r="M209" s="157" t="s">
        <v>1260</v>
      </c>
      <c r="N209" s="157" t="s">
        <v>1260</v>
      </c>
    </row>
    <row r="210" spans="2:14" ht="15" thickBot="1">
      <c r="B210" s="13" t="s">
        <v>1115</v>
      </c>
      <c r="C210" s="14">
        <v>45</v>
      </c>
      <c r="D210" s="15">
        <v>60</v>
      </c>
      <c r="E210" s="14">
        <v>200</v>
      </c>
      <c r="F210" s="28">
        <v>40</v>
      </c>
      <c r="G210" s="136">
        <v>45</v>
      </c>
      <c r="H210" s="27" t="s">
        <v>1100</v>
      </c>
      <c r="I210" s="28">
        <v>1450</v>
      </c>
      <c r="J210" s="38" t="s">
        <v>707</v>
      </c>
      <c r="K210" s="39">
        <v>576</v>
      </c>
      <c r="L210" s="40">
        <v>0.77398400000000001</v>
      </c>
      <c r="M210" s="157" t="s">
        <v>1260</v>
      </c>
      <c r="N210" s="157" t="s">
        <v>1260</v>
      </c>
    </row>
    <row r="211" spans="2:14" ht="15" thickBot="1">
      <c r="B211" s="13" t="s">
        <v>1116</v>
      </c>
      <c r="C211" s="14">
        <v>45</v>
      </c>
      <c r="D211" s="15">
        <v>60</v>
      </c>
      <c r="E211" s="14">
        <v>300</v>
      </c>
      <c r="F211" s="28">
        <v>32</v>
      </c>
      <c r="G211" s="136">
        <v>42</v>
      </c>
      <c r="H211" s="27" t="s">
        <v>1102</v>
      </c>
      <c r="I211" s="28">
        <v>1450</v>
      </c>
      <c r="J211" s="38" t="s">
        <v>707</v>
      </c>
      <c r="K211" s="39">
        <v>592</v>
      </c>
      <c r="L211" s="40">
        <v>0.77398400000000001</v>
      </c>
      <c r="M211" s="157" t="s">
        <v>1260</v>
      </c>
      <c r="N211" s="157" t="s">
        <v>1260</v>
      </c>
    </row>
    <row r="212" spans="2:14" ht="15" thickBot="1">
      <c r="B212" s="13" t="s">
        <v>1117</v>
      </c>
      <c r="C212" s="14">
        <v>45</v>
      </c>
      <c r="D212" s="15">
        <v>60</v>
      </c>
      <c r="E212" s="14">
        <v>400</v>
      </c>
      <c r="F212" s="28">
        <v>25</v>
      </c>
      <c r="G212" s="136">
        <v>42</v>
      </c>
      <c r="H212" s="27" t="s">
        <v>1102</v>
      </c>
      <c r="I212" s="28">
        <v>1450</v>
      </c>
      <c r="J212" s="38" t="s">
        <v>707</v>
      </c>
      <c r="K212" s="39">
        <v>592</v>
      </c>
      <c r="L212" s="40">
        <v>0.77398400000000001</v>
      </c>
      <c r="M212" s="157" t="s">
        <v>1260</v>
      </c>
      <c r="N212" s="157" t="s">
        <v>1260</v>
      </c>
    </row>
    <row r="213" spans="2:14" ht="15" thickBot="1">
      <c r="B213" s="13" t="s">
        <v>1118</v>
      </c>
      <c r="C213" s="14">
        <v>45</v>
      </c>
      <c r="D213" s="15">
        <v>60</v>
      </c>
      <c r="E213" s="14">
        <v>600</v>
      </c>
      <c r="F213" s="28">
        <v>15</v>
      </c>
      <c r="G213" s="136">
        <v>30</v>
      </c>
      <c r="H213" s="27" t="s">
        <v>848</v>
      </c>
      <c r="I213" s="28">
        <v>1450</v>
      </c>
      <c r="J213" s="38" t="s">
        <v>707</v>
      </c>
      <c r="K213" s="39">
        <v>622</v>
      </c>
      <c r="L213" s="40">
        <v>0.77398400000000001</v>
      </c>
      <c r="M213" s="157" t="s">
        <v>1260</v>
      </c>
      <c r="N213" s="157" t="s">
        <v>1260</v>
      </c>
    </row>
    <row r="214" spans="2:14" ht="15" thickBot="1">
      <c r="B214" s="13" t="s">
        <v>1119</v>
      </c>
      <c r="C214" s="14">
        <v>45</v>
      </c>
      <c r="D214" s="15">
        <v>60</v>
      </c>
      <c r="E214" s="14">
        <v>800</v>
      </c>
      <c r="F214" s="28">
        <v>12</v>
      </c>
      <c r="G214" s="136">
        <v>31.5</v>
      </c>
      <c r="H214" s="27" t="s">
        <v>1105</v>
      </c>
      <c r="I214" s="28">
        <v>1450</v>
      </c>
      <c r="J214" s="38" t="s">
        <v>707</v>
      </c>
      <c r="K214" s="39">
        <v>632</v>
      </c>
      <c r="L214" s="40">
        <v>0.77398400000000001</v>
      </c>
      <c r="M214" s="157" t="s">
        <v>1260</v>
      </c>
      <c r="N214" s="157" t="s">
        <v>1260</v>
      </c>
    </row>
    <row r="215" spans="2:14" ht="15" thickBot="1">
      <c r="B215" s="13" t="s">
        <v>2565</v>
      </c>
      <c r="C215" s="14">
        <v>45</v>
      </c>
      <c r="D215" s="15">
        <v>60</v>
      </c>
      <c r="E215" s="14">
        <v>1100</v>
      </c>
      <c r="F215" s="28">
        <v>8</v>
      </c>
      <c r="G215" s="136">
        <v>25</v>
      </c>
      <c r="H215" s="27" t="s">
        <v>850</v>
      </c>
      <c r="I215" s="28">
        <v>1450</v>
      </c>
      <c r="J215" s="38" t="s">
        <v>707</v>
      </c>
      <c r="K215" s="39">
        <v>639</v>
      </c>
      <c r="L215" s="40">
        <v>0.77398400000000001</v>
      </c>
      <c r="M215" s="157" t="s">
        <v>1260</v>
      </c>
      <c r="N215" s="157" t="s">
        <v>1260</v>
      </c>
    </row>
    <row r="216" spans="2:14" ht="15" thickBot="1">
      <c r="B216" s="13" t="s">
        <v>2566</v>
      </c>
      <c r="C216" s="14">
        <v>45</v>
      </c>
      <c r="D216" s="15">
        <v>60</v>
      </c>
      <c r="E216" s="14">
        <v>1300</v>
      </c>
      <c r="F216" s="28">
        <v>7</v>
      </c>
      <c r="G216" s="136">
        <v>20</v>
      </c>
      <c r="H216" s="27" t="s">
        <v>850</v>
      </c>
      <c r="I216" s="28">
        <v>980</v>
      </c>
      <c r="J216" s="38" t="s">
        <v>707</v>
      </c>
      <c r="K216" s="39">
        <v>1286</v>
      </c>
      <c r="L216" s="40">
        <v>1.23</v>
      </c>
      <c r="M216" s="157" t="s">
        <v>1260</v>
      </c>
      <c r="N216" s="157" t="s">
        <v>1260</v>
      </c>
    </row>
    <row r="217" spans="2:14" ht="15" thickBot="1">
      <c r="B217" s="13" t="s">
        <v>1120</v>
      </c>
      <c r="C217" s="14">
        <v>55</v>
      </c>
      <c r="D217" s="15">
        <v>75</v>
      </c>
      <c r="E217" s="14">
        <v>100</v>
      </c>
      <c r="F217" s="28">
        <v>65</v>
      </c>
      <c r="G217" s="136">
        <v>72</v>
      </c>
      <c r="H217" s="27" t="s">
        <v>849</v>
      </c>
      <c r="I217" s="28">
        <v>1450</v>
      </c>
      <c r="J217" s="38" t="s">
        <v>707</v>
      </c>
      <c r="K217" s="39">
        <v>826</v>
      </c>
      <c r="L217" s="40">
        <v>0.94010000000000005</v>
      </c>
      <c r="M217" s="157" t="s">
        <v>1260</v>
      </c>
      <c r="N217" s="157" t="s">
        <v>1260</v>
      </c>
    </row>
    <row r="218" spans="2:14" ht="15" thickBot="1">
      <c r="B218" s="13" t="s">
        <v>1121</v>
      </c>
      <c r="C218" s="14">
        <v>55</v>
      </c>
      <c r="D218" s="15">
        <v>75</v>
      </c>
      <c r="E218" s="14">
        <v>180</v>
      </c>
      <c r="F218" s="28">
        <v>50</v>
      </c>
      <c r="G218" s="136">
        <v>62</v>
      </c>
      <c r="H218" s="27" t="s">
        <v>1100</v>
      </c>
      <c r="I218" s="28">
        <v>1450</v>
      </c>
      <c r="J218" s="38" t="s">
        <v>707</v>
      </c>
      <c r="K218" s="39">
        <v>836</v>
      </c>
      <c r="L218" s="40">
        <v>0.94010000000000005</v>
      </c>
      <c r="M218" s="157" t="s">
        <v>1260</v>
      </c>
      <c r="N218" s="157" t="s">
        <v>1260</v>
      </c>
    </row>
    <row r="219" spans="2:14" ht="15" thickBot="1">
      <c r="B219" s="13" t="s">
        <v>1122</v>
      </c>
      <c r="C219" s="14">
        <v>55</v>
      </c>
      <c r="D219" s="15">
        <v>75</v>
      </c>
      <c r="E219" s="14">
        <v>300</v>
      </c>
      <c r="F219" s="28">
        <v>40</v>
      </c>
      <c r="G219" s="136">
        <v>52</v>
      </c>
      <c r="H219" s="27" t="s">
        <v>1102</v>
      </c>
      <c r="I219" s="28">
        <v>1450</v>
      </c>
      <c r="J219" s="38" t="s">
        <v>707</v>
      </c>
      <c r="K219" s="39">
        <v>846</v>
      </c>
      <c r="L219" s="40">
        <v>0.94010000000000005</v>
      </c>
      <c r="M219" s="157" t="s">
        <v>1260</v>
      </c>
      <c r="N219" s="157" t="s">
        <v>1260</v>
      </c>
    </row>
    <row r="220" spans="2:14" ht="15" thickBot="1">
      <c r="B220" s="13" t="s">
        <v>1123</v>
      </c>
      <c r="C220" s="14">
        <v>55</v>
      </c>
      <c r="D220" s="15">
        <v>75</v>
      </c>
      <c r="E220" s="14">
        <v>400</v>
      </c>
      <c r="F220" s="28">
        <v>30</v>
      </c>
      <c r="G220" s="136">
        <v>52</v>
      </c>
      <c r="H220" s="27" t="s">
        <v>1102</v>
      </c>
      <c r="I220" s="28">
        <v>1450</v>
      </c>
      <c r="J220" s="38" t="s">
        <v>707</v>
      </c>
      <c r="K220" s="39">
        <v>846</v>
      </c>
      <c r="L220" s="40">
        <v>0.94010000000000005</v>
      </c>
      <c r="M220" s="157" t="s">
        <v>1260</v>
      </c>
      <c r="N220" s="157" t="s">
        <v>1260</v>
      </c>
    </row>
    <row r="221" spans="2:14" ht="15" thickBot="1">
      <c r="B221" s="13" t="s">
        <v>1124</v>
      </c>
      <c r="C221" s="14">
        <v>55</v>
      </c>
      <c r="D221" s="15">
        <v>75</v>
      </c>
      <c r="E221" s="14">
        <v>600</v>
      </c>
      <c r="F221" s="28">
        <v>20</v>
      </c>
      <c r="G221" s="136">
        <v>35</v>
      </c>
      <c r="H221" s="27" t="s">
        <v>848</v>
      </c>
      <c r="I221" s="28">
        <v>1450</v>
      </c>
      <c r="J221" s="38" t="s">
        <v>707</v>
      </c>
      <c r="K221" s="39">
        <v>856</v>
      </c>
      <c r="L221" s="40">
        <v>0.94010000000000005</v>
      </c>
      <c r="M221" s="157" t="s">
        <v>1260</v>
      </c>
      <c r="N221" s="157" t="s">
        <v>1260</v>
      </c>
    </row>
    <row r="222" spans="2:14" ht="15" thickBot="1">
      <c r="B222" s="13" t="s">
        <v>1125</v>
      </c>
      <c r="C222" s="14">
        <v>55</v>
      </c>
      <c r="D222" s="15">
        <v>75</v>
      </c>
      <c r="E222" s="14">
        <v>800</v>
      </c>
      <c r="F222" s="28">
        <v>15</v>
      </c>
      <c r="G222" s="136">
        <v>36</v>
      </c>
      <c r="H222" s="27" t="s">
        <v>1105</v>
      </c>
      <c r="I222" s="28">
        <v>1450</v>
      </c>
      <c r="J222" s="38" t="s">
        <v>707</v>
      </c>
      <c r="K222" s="39">
        <v>866</v>
      </c>
      <c r="L222" s="40">
        <v>0.94010000000000005</v>
      </c>
      <c r="M222" s="157" t="s">
        <v>1260</v>
      </c>
      <c r="N222" s="157" t="s">
        <v>1260</v>
      </c>
    </row>
    <row r="223" spans="2:14" ht="15" thickBot="1">
      <c r="B223" s="13" t="s">
        <v>1126</v>
      </c>
      <c r="C223" s="14">
        <v>55</v>
      </c>
      <c r="D223" s="15">
        <v>75</v>
      </c>
      <c r="E223" s="14">
        <v>1000</v>
      </c>
      <c r="F223" s="28">
        <v>10</v>
      </c>
      <c r="G223" s="136">
        <v>27</v>
      </c>
      <c r="H223" s="27" t="s">
        <v>850</v>
      </c>
      <c r="I223" s="28">
        <v>1450</v>
      </c>
      <c r="J223" s="38" t="s">
        <v>707</v>
      </c>
      <c r="K223" s="39">
        <v>876</v>
      </c>
      <c r="L223" s="40">
        <v>0.94010000000000005</v>
      </c>
      <c r="M223" s="157" t="s">
        <v>1260</v>
      </c>
      <c r="N223" s="157" t="s">
        <v>1260</v>
      </c>
    </row>
    <row r="224" spans="2:14" ht="15" thickBot="1">
      <c r="B224" s="13" t="s">
        <v>1127</v>
      </c>
      <c r="C224" s="14">
        <v>55</v>
      </c>
      <c r="D224" s="15">
        <v>75</v>
      </c>
      <c r="E224" s="14">
        <v>1100</v>
      </c>
      <c r="F224" s="28">
        <v>10</v>
      </c>
      <c r="G224" s="136">
        <v>21</v>
      </c>
      <c r="H224" s="27" t="s">
        <v>850</v>
      </c>
      <c r="I224" s="28">
        <v>980</v>
      </c>
      <c r="J224" s="38" t="s">
        <v>707</v>
      </c>
      <c r="K224" s="39">
        <v>1345</v>
      </c>
      <c r="L224" s="40">
        <v>1.35</v>
      </c>
      <c r="M224" s="157" t="s">
        <v>1260</v>
      </c>
      <c r="N224" s="157" t="s">
        <v>1260</v>
      </c>
    </row>
    <row r="225" spans="2:14" ht="15" thickBot="1">
      <c r="B225" s="185" t="s">
        <v>2683</v>
      </c>
      <c r="C225" s="14">
        <v>55</v>
      </c>
      <c r="D225" s="15">
        <v>75</v>
      </c>
      <c r="E225" s="14">
        <v>1420</v>
      </c>
      <c r="F225" s="28">
        <v>10.5</v>
      </c>
      <c r="G225" s="136">
        <v>16</v>
      </c>
      <c r="H225" s="27">
        <v>500</v>
      </c>
      <c r="I225" s="28">
        <v>980</v>
      </c>
      <c r="J225" s="38" t="s">
        <v>707</v>
      </c>
      <c r="K225" s="39">
        <v>1500</v>
      </c>
      <c r="L225" s="40">
        <v>1.4</v>
      </c>
      <c r="M225" s="157" t="s">
        <v>1260</v>
      </c>
      <c r="N225" s="157" t="s">
        <v>1260</v>
      </c>
    </row>
    <row r="226" spans="2:14" ht="15" thickBot="1">
      <c r="B226" s="13" t="s">
        <v>1128</v>
      </c>
      <c r="C226" s="14">
        <v>75</v>
      </c>
      <c r="D226" s="15">
        <v>100</v>
      </c>
      <c r="E226" s="14">
        <v>120</v>
      </c>
      <c r="F226" s="28">
        <v>75</v>
      </c>
      <c r="G226" s="136">
        <v>82</v>
      </c>
      <c r="H226" s="27" t="s">
        <v>849</v>
      </c>
      <c r="I226" s="28">
        <v>1450</v>
      </c>
      <c r="J226" s="38" t="s">
        <v>707</v>
      </c>
      <c r="K226" s="39">
        <v>1019</v>
      </c>
      <c r="L226" s="40">
        <v>0.98987000000000003</v>
      </c>
      <c r="M226" s="157" t="s">
        <v>1260</v>
      </c>
      <c r="N226" s="157" t="s">
        <v>1260</v>
      </c>
    </row>
    <row r="227" spans="2:14" ht="15" thickBot="1">
      <c r="B227" s="13" t="s">
        <v>2543</v>
      </c>
      <c r="C227" s="14">
        <v>75</v>
      </c>
      <c r="D227" s="15">
        <v>100</v>
      </c>
      <c r="E227" s="14">
        <v>200</v>
      </c>
      <c r="F227" s="28">
        <v>55</v>
      </c>
      <c r="G227" s="136">
        <v>62</v>
      </c>
      <c r="H227" s="27" t="s">
        <v>1100</v>
      </c>
      <c r="I227" s="28">
        <v>1450</v>
      </c>
      <c r="J227" s="38" t="s">
        <v>707</v>
      </c>
      <c r="K227" s="39">
        <v>1029</v>
      </c>
      <c r="L227" s="40">
        <v>0.98987000000000003</v>
      </c>
      <c r="M227" s="157" t="s">
        <v>1260</v>
      </c>
      <c r="N227" s="157" t="s">
        <v>1260</v>
      </c>
    </row>
    <row r="228" spans="2:14" ht="15" thickBot="1">
      <c r="B228" s="13" t="s">
        <v>1129</v>
      </c>
      <c r="C228" s="14">
        <v>75</v>
      </c>
      <c r="D228" s="15">
        <v>100</v>
      </c>
      <c r="E228" s="14">
        <v>350</v>
      </c>
      <c r="F228" s="28">
        <v>45</v>
      </c>
      <c r="G228" s="136">
        <v>55</v>
      </c>
      <c r="H228" s="27" t="s">
        <v>1102</v>
      </c>
      <c r="I228" s="28">
        <v>1450</v>
      </c>
      <c r="J228" s="38" t="s">
        <v>707</v>
      </c>
      <c r="K228" s="39">
        <v>1039</v>
      </c>
      <c r="L228" s="40">
        <v>0.98987000000000003</v>
      </c>
      <c r="M228" s="157" t="s">
        <v>1260</v>
      </c>
      <c r="N228" s="157" t="s">
        <v>1260</v>
      </c>
    </row>
    <row r="229" spans="2:14" ht="15" thickBot="1">
      <c r="B229" s="13" t="s">
        <v>1130</v>
      </c>
      <c r="C229" s="14">
        <v>75</v>
      </c>
      <c r="D229" s="15">
        <v>100</v>
      </c>
      <c r="E229" s="14">
        <v>600</v>
      </c>
      <c r="F229" s="28">
        <v>25</v>
      </c>
      <c r="G229" s="136">
        <v>41</v>
      </c>
      <c r="H229" s="27" t="s">
        <v>848</v>
      </c>
      <c r="I229" s="28">
        <v>1450</v>
      </c>
      <c r="J229" s="38" t="s">
        <v>707</v>
      </c>
      <c r="K229" s="39">
        <v>1049</v>
      </c>
      <c r="L229" s="40">
        <v>0.98987000000000003</v>
      </c>
      <c r="M229" s="157" t="s">
        <v>1260</v>
      </c>
      <c r="N229" s="157" t="s">
        <v>1260</v>
      </c>
    </row>
    <row r="230" spans="2:14" ht="15" thickBot="1">
      <c r="B230" s="13" t="s">
        <v>1131</v>
      </c>
      <c r="C230" s="14">
        <v>75</v>
      </c>
      <c r="D230" s="15">
        <v>100</v>
      </c>
      <c r="E230" s="14">
        <v>800</v>
      </c>
      <c r="F230" s="28">
        <v>20</v>
      </c>
      <c r="G230" s="136">
        <v>30.2</v>
      </c>
      <c r="H230" s="27" t="s">
        <v>1105</v>
      </c>
      <c r="I230" s="28">
        <v>1450</v>
      </c>
      <c r="J230" s="38" t="s">
        <v>707</v>
      </c>
      <c r="K230" s="39">
        <v>1059</v>
      </c>
      <c r="L230" s="40">
        <v>0.98987000000000003</v>
      </c>
      <c r="M230" s="157" t="s">
        <v>1260</v>
      </c>
      <c r="N230" s="157" t="s">
        <v>1260</v>
      </c>
    </row>
    <row r="231" spans="2:14" ht="15" thickBot="1">
      <c r="B231" s="13" t="s">
        <v>1132</v>
      </c>
      <c r="C231" s="14">
        <v>75</v>
      </c>
      <c r="D231" s="15">
        <v>100</v>
      </c>
      <c r="E231" s="14">
        <v>1000</v>
      </c>
      <c r="F231" s="28">
        <v>15</v>
      </c>
      <c r="G231" s="136">
        <v>29</v>
      </c>
      <c r="H231" s="27" t="s">
        <v>850</v>
      </c>
      <c r="I231" s="28">
        <v>1450</v>
      </c>
      <c r="J231" s="38" t="s">
        <v>707</v>
      </c>
      <c r="K231" s="39">
        <v>1069</v>
      </c>
      <c r="L231" s="40">
        <v>0.98987000000000003</v>
      </c>
      <c r="M231" s="157" t="s">
        <v>1260</v>
      </c>
      <c r="N231" s="157" t="s">
        <v>1260</v>
      </c>
    </row>
    <row r="232" spans="2:14" ht="15" thickBot="1">
      <c r="B232" s="13" t="s">
        <v>2567</v>
      </c>
      <c r="C232" s="14">
        <v>75</v>
      </c>
      <c r="D232" s="15">
        <v>100</v>
      </c>
      <c r="E232" s="14">
        <v>1400</v>
      </c>
      <c r="F232" s="28">
        <v>11</v>
      </c>
      <c r="G232" s="136">
        <v>26</v>
      </c>
      <c r="H232" s="27" t="s">
        <v>850</v>
      </c>
      <c r="I232" s="28">
        <v>980</v>
      </c>
      <c r="J232" s="38" t="s">
        <v>707</v>
      </c>
      <c r="K232" s="39">
        <v>1524</v>
      </c>
      <c r="L232" s="40">
        <v>1.42</v>
      </c>
      <c r="M232" s="157" t="s">
        <v>1260</v>
      </c>
      <c r="N232" s="157" t="s">
        <v>1260</v>
      </c>
    </row>
    <row r="233" spans="2:14" ht="15" thickBot="1">
      <c r="B233" s="13" t="s">
        <v>1133</v>
      </c>
      <c r="C233" s="14">
        <v>90</v>
      </c>
      <c r="D233" s="15">
        <v>120</v>
      </c>
      <c r="E233" s="14">
        <v>120</v>
      </c>
      <c r="F233" s="28">
        <v>85</v>
      </c>
      <c r="G233" s="136">
        <v>93</v>
      </c>
      <c r="H233" s="27" t="s">
        <v>849</v>
      </c>
      <c r="I233" s="28">
        <v>1450</v>
      </c>
      <c r="J233" s="38" t="s">
        <v>707</v>
      </c>
      <c r="K233" s="39">
        <v>1152</v>
      </c>
      <c r="L233" s="40">
        <v>1.45</v>
      </c>
      <c r="M233" s="157" t="s">
        <v>1260</v>
      </c>
      <c r="N233" s="157" t="s">
        <v>1260</v>
      </c>
    </row>
    <row r="234" spans="2:14" ht="15" thickBot="1">
      <c r="B234" s="13" t="s">
        <v>1134</v>
      </c>
      <c r="C234" s="14">
        <v>90</v>
      </c>
      <c r="D234" s="15">
        <v>120</v>
      </c>
      <c r="E234" s="14">
        <v>200</v>
      </c>
      <c r="F234" s="28">
        <v>70</v>
      </c>
      <c r="G234" s="136">
        <v>82</v>
      </c>
      <c r="H234" s="27" t="s">
        <v>1100</v>
      </c>
      <c r="I234" s="28">
        <v>1450</v>
      </c>
      <c r="J234" s="38" t="s">
        <v>707</v>
      </c>
      <c r="K234" s="39">
        <v>1172</v>
      </c>
      <c r="L234" s="40">
        <v>1.45</v>
      </c>
      <c r="M234" s="157" t="s">
        <v>1260</v>
      </c>
      <c r="N234" s="157" t="s">
        <v>1260</v>
      </c>
    </row>
    <row r="235" spans="2:14" ht="15" thickBot="1">
      <c r="B235" s="13" t="s">
        <v>2568</v>
      </c>
      <c r="C235" s="14">
        <v>90</v>
      </c>
      <c r="D235" s="15">
        <v>120</v>
      </c>
      <c r="E235" s="14">
        <v>300</v>
      </c>
      <c r="F235" s="28">
        <v>55</v>
      </c>
      <c r="G235" s="136">
        <v>63</v>
      </c>
      <c r="H235" s="27" t="s">
        <v>1102</v>
      </c>
      <c r="I235" s="28">
        <v>1450</v>
      </c>
      <c r="J235" s="38" t="s">
        <v>707</v>
      </c>
      <c r="K235" s="39">
        <v>1202</v>
      </c>
      <c r="L235" s="40">
        <v>1.45</v>
      </c>
      <c r="M235" s="157" t="s">
        <v>1260</v>
      </c>
      <c r="N235" s="157" t="s">
        <v>1260</v>
      </c>
    </row>
    <row r="236" spans="2:14" ht="15" thickBot="1">
      <c r="B236" s="13" t="s">
        <v>1135</v>
      </c>
      <c r="C236" s="14">
        <v>90</v>
      </c>
      <c r="D236" s="15">
        <v>120</v>
      </c>
      <c r="E236" s="14">
        <v>400</v>
      </c>
      <c r="F236" s="28">
        <v>50</v>
      </c>
      <c r="G236" s="136">
        <v>63</v>
      </c>
      <c r="H236" s="27" t="s">
        <v>1102</v>
      </c>
      <c r="I236" s="28">
        <v>1450</v>
      </c>
      <c r="J236" s="38" t="s">
        <v>707</v>
      </c>
      <c r="K236" s="39">
        <v>1202</v>
      </c>
      <c r="L236" s="40">
        <v>1.45</v>
      </c>
      <c r="M236" s="157" t="s">
        <v>1260</v>
      </c>
      <c r="N236" s="157" t="s">
        <v>1260</v>
      </c>
    </row>
    <row r="237" spans="2:14" ht="15" thickBot="1">
      <c r="B237" s="13" t="s">
        <v>1136</v>
      </c>
      <c r="C237" s="14">
        <v>90</v>
      </c>
      <c r="D237" s="15">
        <v>120</v>
      </c>
      <c r="E237" s="14">
        <v>600</v>
      </c>
      <c r="F237" s="28">
        <v>30</v>
      </c>
      <c r="G237" s="136">
        <v>46</v>
      </c>
      <c r="H237" s="27" t="s">
        <v>848</v>
      </c>
      <c r="I237" s="28">
        <v>1450</v>
      </c>
      <c r="J237" s="38" t="s">
        <v>707</v>
      </c>
      <c r="K237" s="39">
        <v>1242</v>
      </c>
      <c r="L237" s="40">
        <v>1.45</v>
      </c>
      <c r="M237" s="157" t="s">
        <v>1260</v>
      </c>
      <c r="N237" s="157" t="s">
        <v>1260</v>
      </c>
    </row>
    <row r="238" spans="2:14" ht="15" thickBot="1">
      <c r="B238" s="13" t="s">
        <v>1137</v>
      </c>
      <c r="C238" s="14">
        <v>90</v>
      </c>
      <c r="D238" s="15">
        <v>120</v>
      </c>
      <c r="E238" s="14">
        <v>800</v>
      </c>
      <c r="F238" s="28">
        <v>25</v>
      </c>
      <c r="G238" s="136">
        <v>40</v>
      </c>
      <c r="H238" s="27" t="s">
        <v>1105</v>
      </c>
      <c r="I238" s="28">
        <v>1450</v>
      </c>
      <c r="J238" s="38" t="s">
        <v>707</v>
      </c>
      <c r="K238" s="39">
        <v>1272</v>
      </c>
      <c r="L238" s="40">
        <v>1.45</v>
      </c>
      <c r="M238" s="157" t="s">
        <v>1260</v>
      </c>
      <c r="N238" s="157" t="s">
        <v>1260</v>
      </c>
    </row>
    <row r="239" spans="2:14" ht="15" thickBot="1">
      <c r="B239" s="13" t="s">
        <v>1138</v>
      </c>
      <c r="C239" s="14">
        <v>90</v>
      </c>
      <c r="D239" s="15">
        <v>120</v>
      </c>
      <c r="E239" s="14">
        <v>1000</v>
      </c>
      <c r="F239" s="28">
        <v>18</v>
      </c>
      <c r="G239" s="136">
        <v>43</v>
      </c>
      <c r="H239" s="27" t="s">
        <v>850</v>
      </c>
      <c r="I239" s="28">
        <v>1450</v>
      </c>
      <c r="J239" s="38" t="s">
        <v>707</v>
      </c>
      <c r="K239" s="39">
        <v>1302</v>
      </c>
      <c r="L239" s="40">
        <v>1.45</v>
      </c>
      <c r="M239" s="157" t="s">
        <v>1260</v>
      </c>
      <c r="N239" s="157" t="s">
        <v>1260</v>
      </c>
    </row>
    <row r="240" spans="2:14" ht="15" thickBot="1">
      <c r="B240" s="13" t="s">
        <v>1139</v>
      </c>
      <c r="C240" s="14">
        <v>90</v>
      </c>
      <c r="D240" s="15">
        <v>120</v>
      </c>
      <c r="E240" s="14">
        <v>1200</v>
      </c>
      <c r="F240" s="28">
        <v>18</v>
      </c>
      <c r="G240" s="136">
        <v>30</v>
      </c>
      <c r="H240" s="27" t="s">
        <v>850</v>
      </c>
      <c r="I240" s="28">
        <v>980</v>
      </c>
      <c r="J240" s="38" t="s">
        <v>707</v>
      </c>
      <c r="K240" s="39">
        <v>1944</v>
      </c>
      <c r="L240" s="40">
        <v>2.0499999999999998</v>
      </c>
      <c r="M240" s="157" t="s">
        <v>1260</v>
      </c>
      <c r="N240" s="157" t="s">
        <v>1260</v>
      </c>
    </row>
    <row r="241" spans="2:14" ht="15" thickBot="1">
      <c r="B241" s="13" t="s">
        <v>2569</v>
      </c>
      <c r="C241" s="14">
        <v>110</v>
      </c>
      <c r="D241" s="15">
        <v>150</v>
      </c>
      <c r="E241" s="14">
        <v>100</v>
      </c>
      <c r="F241" s="28">
        <v>95</v>
      </c>
      <c r="G241" s="136">
        <v>100</v>
      </c>
      <c r="H241" s="27" t="s">
        <v>849</v>
      </c>
      <c r="I241" s="28">
        <v>1450</v>
      </c>
      <c r="J241" s="38" t="s">
        <v>707</v>
      </c>
      <c r="K241" s="39">
        <v>1527</v>
      </c>
      <c r="L241" s="40">
        <v>1.81</v>
      </c>
      <c r="M241" s="157" t="s">
        <v>1260</v>
      </c>
      <c r="N241" s="157" t="s">
        <v>1260</v>
      </c>
    </row>
    <row r="242" spans="2:14" ht="15" thickBot="1">
      <c r="B242" s="13" t="s">
        <v>2570</v>
      </c>
      <c r="C242" s="14">
        <v>110</v>
      </c>
      <c r="D242" s="15">
        <v>150</v>
      </c>
      <c r="E242" s="14">
        <v>180</v>
      </c>
      <c r="F242" s="28">
        <v>70</v>
      </c>
      <c r="G242" s="136">
        <v>78</v>
      </c>
      <c r="H242" s="27" t="s">
        <v>1100</v>
      </c>
      <c r="I242" s="28">
        <v>1450</v>
      </c>
      <c r="J242" s="38" t="s">
        <v>707</v>
      </c>
      <c r="K242" s="39">
        <v>1547</v>
      </c>
      <c r="L242" s="40">
        <v>1.81</v>
      </c>
      <c r="M242" s="157" t="s">
        <v>1260</v>
      </c>
      <c r="N242" s="157" t="s">
        <v>1260</v>
      </c>
    </row>
    <row r="243" spans="2:14" ht="15" thickBot="1">
      <c r="B243" s="13" t="s">
        <v>1140</v>
      </c>
      <c r="C243" s="14">
        <v>110</v>
      </c>
      <c r="D243" s="15">
        <v>150</v>
      </c>
      <c r="E243" s="14">
        <v>300</v>
      </c>
      <c r="F243" s="28">
        <v>65</v>
      </c>
      <c r="G243" s="136">
        <v>77</v>
      </c>
      <c r="H243" s="27" t="s">
        <v>1102</v>
      </c>
      <c r="I243" s="28">
        <v>1450</v>
      </c>
      <c r="J243" s="38" t="s">
        <v>707</v>
      </c>
      <c r="K243" s="39">
        <v>1577</v>
      </c>
      <c r="L243" s="40">
        <v>1.81</v>
      </c>
      <c r="M243" s="157" t="s">
        <v>1260</v>
      </c>
      <c r="N243" s="157" t="s">
        <v>1260</v>
      </c>
    </row>
    <row r="244" spans="2:14" ht="15" thickBot="1">
      <c r="B244" s="13" t="s">
        <v>1141</v>
      </c>
      <c r="C244" s="14">
        <v>110</v>
      </c>
      <c r="D244" s="15">
        <v>150</v>
      </c>
      <c r="E244" s="14">
        <v>600</v>
      </c>
      <c r="F244" s="28">
        <v>40</v>
      </c>
      <c r="G244" s="136">
        <v>52</v>
      </c>
      <c r="H244" s="27" t="s">
        <v>848</v>
      </c>
      <c r="I244" s="28">
        <v>1450</v>
      </c>
      <c r="J244" s="38" t="s">
        <v>707</v>
      </c>
      <c r="K244" s="39">
        <v>1627</v>
      </c>
      <c r="L244" s="40">
        <v>1.81</v>
      </c>
      <c r="M244" s="157" t="s">
        <v>1260</v>
      </c>
      <c r="N244" s="157" t="s">
        <v>1260</v>
      </c>
    </row>
    <row r="245" spans="2:14" ht="15" thickBot="1">
      <c r="B245" s="13" t="s">
        <v>1142</v>
      </c>
      <c r="C245" s="14">
        <v>110</v>
      </c>
      <c r="D245" s="15">
        <v>150</v>
      </c>
      <c r="E245" s="14">
        <v>1000</v>
      </c>
      <c r="F245" s="28">
        <v>25</v>
      </c>
      <c r="G245" s="136">
        <v>42</v>
      </c>
      <c r="H245" s="27" t="s">
        <v>1105</v>
      </c>
      <c r="I245" s="28">
        <v>1450</v>
      </c>
      <c r="J245" s="38" t="s">
        <v>707</v>
      </c>
      <c r="K245" s="39">
        <v>1657</v>
      </c>
      <c r="L245" s="40">
        <v>1.81</v>
      </c>
      <c r="M245" s="157" t="s">
        <v>1260</v>
      </c>
      <c r="N245" s="157" t="s">
        <v>1260</v>
      </c>
    </row>
    <row r="246" spans="2:14" ht="15" thickBot="1">
      <c r="B246" s="13" t="s">
        <v>1143</v>
      </c>
      <c r="C246" s="14">
        <v>110</v>
      </c>
      <c r="D246" s="15">
        <v>150</v>
      </c>
      <c r="E246" s="14">
        <v>1300</v>
      </c>
      <c r="F246" s="28">
        <v>20</v>
      </c>
      <c r="G246" s="136">
        <v>40</v>
      </c>
      <c r="H246" s="27" t="s">
        <v>850</v>
      </c>
      <c r="I246" s="28">
        <v>1450</v>
      </c>
      <c r="J246" s="38" t="s">
        <v>707</v>
      </c>
      <c r="K246" s="39">
        <v>1697</v>
      </c>
      <c r="L246" s="40">
        <v>1.81</v>
      </c>
      <c r="M246" s="157" t="s">
        <v>1260</v>
      </c>
      <c r="N246" s="157" t="s">
        <v>1260</v>
      </c>
    </row>
    <row r="247" spans="2:14" ht="15" thickBot="1">
      <c r="B247" s="13" t="s">
        <v>2571</v>
      </c>
      <c r="C247" s="14">
        <v>110</v>
      </c>
      <c r="D247" s="15">
        <v>150</v>
      </c>
      <c r="E247" s="14">
        <v>1500</v>
      </c>
      <c r="F247" s="28">
        <v>16</v>
      </c>
      <c r="G247" s="136">
        <v>31</v>
      </c>
      <c r="H247" s="27" t="s">
        <v>850</v>
      </c>
      <c r="I247" s="28">
        <v>980</v>
      </c>
      <c r="J247" s="38" t="s">
        <v>707</v>
      </c>
      <c r="K247" s="39">
        <v>2315</v>
      </c>
      <c r="L247" s="40">
        <v>2.35</v>
      </c>
      <c r="M247" s="157" t="s">
        <v>1260</v>
      </c>
      <c r="N247" s="157" t="s">
        <v>1260</v>
      </c>
    </row>
    <row r="248" spans="2:14" ht="15" thickBot="1">
      <c r="B248" s="13" t="s">
        <v>2572</v>
      </c>
      <c r="C248" s="14">
        <v>132</v>
      </c>
      <c r="D248" s="15">
        <v>180</v>
      </c>
      <c r="E248" s="14">
        <v>200</v>
      </c>
      <c r="F248" s="28">
        <v>85</v>
      </c>
      <c r="G248" s="136">
        <v>90</v>
      </c>
      <c r="H248" s="27" t="s">
        <v>1100</v>
      </c>
      <c r="I248" s="28">
        <v>1450</v>
      </c>
      <c r="J248" s="38" t="s">
        <v>707</v>
      </c>
      <c r="K248" s="39">
        <v>1608</v>
      </c>
      <c r="L248" s="40">
        <v>2.25</v>
      </c>
      <c r="M248" s="157" t="s">
        <v>1260</v>
      </c>
      <c r="N248" s="157" t="s">
        <v>1260</v>
      </c>
    </row>
    <row r="249" spans="2:14" ht="15" thickBot="1">
      <c r="B249" s="13" t="s">
        <v>1144</v>
      </c>
      <c r="C249" s="14">
        <v>132</v>
      </c>
      <c r="D249" s="15">
        <v>180</v>
      </c>
      <c r="E249" s="14">
        <v>400</v>
      </c>
      <c r="F249" s="28">
        <v>75</v>
      </c>
      <c r="G249" s="136">
        <v>90</v>
      </c>
      <c r="H249" s="27" t="s">
        <v>1102</v>
      </c>
      <c r="I249" s="28">
        <v>1450</v>
      </c>
      <c r="J249" s="38" t="s">
        <v>707</v>
      </c>
      <c r="K249" s="39">
        <v>1658</v>
      </c>
      <c r="L249" s="40">
        <v>2.25</v>
      </c>
      <c r="M249" s="157" t="s">
        <v>1260</v>
      </c>
      <c r="N249" s="157" t="s">
        <v>1260</v>
      </c>
    </row>
    <row r="250" spans="2:14" ht="15" thickBot="1">
      <c r="B250" s="13" t="s">
        <v>1145</v>
      </c>
      <c r="C250" s="14">
        <v>132</v>
      </c>
      <c r="D250" s="15">
        <v>180</v>
      </c>
      <c r="E250" s="14">
        <v>600</v>
      </c>
      <c r="F250" s="28">
        <v>50</v>
      </c>
      <c r="G250" s="136">
        <v>62</v>
      </c>
      <c r="H250" s="27" t="s">
        <v>848</v>
      </c>
      <c r="I250" s="28">
        <v>1450</v>
      </c>
      <c r="J250" s="38" t="s">
        <v>707</v>
      </c>
      <c r="K250" s="39">
        <v>1708</v>
      </c>
      <c r="L250" s="40">
        <v>2.25</v>
      </c>
      <c r="M250" s="157" t="s">
        <v>1260</v>
      </c>
      <c r="N250" s="157" t="s">
        <v>1260</v>
      </c>
    </row>
    <row r="251" spans="2:14" ht="15" thickBot="1">
      <c r="B251" s="13" t="s">
        <v>1146</v>
      </c>
      <c r="C251" s="14">
        <v>132</v>
      </c>
      <c r="D251" s="15">
        <v>180</v>
      </c>
      <c r="E251" s="14">
        <v>800</v>
      </c>
      <c r="F251" s="28">
        <v>36</v>
      </c>
      <c r="G251" s="136">
        <v>44.5</v>
      </c>
      <c r="H251" s="27" t="s">
        <v>1105</v>
      </c>
      <c r="I251" s="28">
        <v>1450</v>
      </c>
      <c r="J251" s="38" t="s">
        <v>707</v>
      </c>
      <c r="K251" s="39">
        <v>1758</v>
      </c>
      <c r="L251" s="40">
        <v>2.25</v>
      </c>
      <c r="M251" s="157" t="s">
        <v>1260</v>
      </c>
      <c r="N251" s="157" t="s">
        <v>1260</v>
      </c>
    </row>
    <row r="252" spans="2:14" ht="15" thickBot="1">
      <c r="B252" s="13" t="s">
        <v>1147</v>
      </c>
      <c r="C252" s="14">
        <v>132</v>
      </c>
      <c r="D252" s="15">
        <v>180</v>
      </c>
      <c r="E252" s="14">
        <v>1100</v>
      </c>
      <c r="F252" s="28">
        <v>28</v>
      </c>
      <c r="G252" s="136">
        <v>49.5</v>
      </c>
      <c r="H252" s="27" t="s">
        <v>850</v>
      </c>
      <c r="I252" s="28">
        <v>1450</v>
      </c>
      <c r="J252" s="38" t="s">
        <v>707</v>
      </c>
      <c r="K252" s="39">
        <v>1808</v>
      </c>
      <c r="L252" s="40">
        <v>2.25</v>
      </c>
      <c r="M252" s="157" t="s">
        <v>1260</v>
      </c>
      <c r="N252" s="157" t="s">
        <v>1260</v>
      </c>
    </row>
    <row r="253" spans="2:14" ht="15" thickBot="1">
      <c r="B253" s="13" t="s">
        <v>2573</v>
      </c>
      <c r="C253" s="14">
        <v>132</v>
      </c>
      <c r="D253" s="15">
        <v>180</v>
      </c>
      <c r="E253" s="14">
        <v>1500</v>
      </c>
      <c r="F253" s="28">
        <v>18</v>
      </c>
      <c r="G253" s="136">
        <v>37.5</v>
      </c>
      <c r="H253" s="27" t="s">
        <v>850</v>
      </c>
      <c r="I253" s="28">
        <v>980</v>
      </c>
      <c r="J253" s="38" t="s">
        <v>707</v>
      </c>
      <c r="K253" s="39">
        <v>2557</v>
      </c>
      <c r="L253" s="40">
        <v>2.95</v>
      </c>
      <c r="M253" s="157" t="s">
        <v>1260</v>
      </c>
      <c r="N253" s="157" t="s">
        <v>1260</v>
      </c>
    </row>
    <row r="254" spans="2:14" ht="15" thickBot="1">
      <c r="B254" s="185" t="s">
        <v>2684</v>
      </c>
      <c r="C254" s="14">
        <v>132</v>
      </c>
      <c r="D254" s="15">
        <v>180</v>
      </c>
      <c r="E254" s="14">
        <v>2000</v>
      </c>
      <c r="F254" s="28">
        <v>15</v>
      </c>
      <c r="G254" s="136">
        <v>34.200000000000003</v>
      </c>
      <c r="H254" s="27">
        <v>400</v>
      </c>
      <c r="I254" s="28">
        <v>980</v>
      </c>
      <c r="J254" s="38" t="s">
        <v>707</v>
      </c>
      <c r="K254" s="39">
        <v>2600</v>
      </c>
      <c r="L254" s="40">
        <v>3</v>
      </c>
      <c r="M254" s="157" t="s">
        <v>1260</v>
      </c>
      <c r="N254" s="157" t="s">
        <v>1260</v>
      </c>
    </row>
    <row r="255" spans="2:14" ht="15" thickBot="1">
      <c r="B255" s="13" t="s">
        <v>2574</v>
      </c>
      <c r="C255" s="14">
        <v>160</v>
      </c>
      <c r="D255" s="15">
        <v>220</v>
      </c>
      <c r="E255" s="14">
        <v>200</v>
      </c>
      <c r="F255" s="28">
        <v>100</v>
      </c>
      <c r="G255" s="136">
        <v>102</v>
      </c>
      <c r="H255" s="27" t="s">
        <v>1100</v>
      </c>
      <c r="I255" s="28">
        <v>1450</v>
      </c>
      <c r="J255" s="38" t="s">
        <v>707</v>
      </c>
      <c r="K255" s="39">
        <v>1724</v>
      </c>
      <c r="L255" s="40">
        <v>2.48</v>
      </c>
      <c r="M255" s="157" t="s">
        <v>1260</v>
      </c>
      <c r="N255" s="157" t="s">
        <v>1260</v>
      </c>
    </row>
    <row r="256" spans="2:14" ht="15" thickBot="1">
      <c r="B256" s="13" t="s">
        <v>1148</v>
      </c>
      <c r="C256" s="14">
        <v>160</v>
      </c>
      <c r="D256" s="15">
        <v>220</v>
      </c>
      <c r="E256" s="14">
        <v>400</v>
      </c>
      <c r="F256" s="28">
        <v>85</v>
      </c>
      <c r="G256" s="136">
        <v>103</v>
      </c>
      <c r="H256" s="27" t="s">
        <v>1102</v>
      </c>
      <c r="I256" s="28">
        <v>1450</v>
      </c>
      <c r="J256" s="38" t="s">
        <v>707</v>
      </c>
      <c r="K256" s="39">
        <v>1774</v>
      </c>
      <c r="L256" s="40">
        <v>2.48</v>
      </c>
      <c r="M256" s="157" t="s">
        <v>1260</v>
      </c>
      <c r="N256" s="157" t="s">
        <v>1260</v>
      </c>
    </row>
    <row r="257" spans="2:14" ht="15" thickBot="1">
      <c r="B257" s="13" t="s">
        <v>2575</v>
      </c>
      <c r="C257" s="14">
        <v>160</v>
      </c>
      <c r="D257" s="15">
        <v>220</v>
      </c>
      <c r="E257" s="14">
        <v>600</v>
      </c>
      <c r="F257" s="28">
        <v>55</v>
      </c>
      <c r="G257" s="136">
        <v>67</v>
      </c>
      <c r="H257" s="27" t="s">
        <v>848</v>
      </c>
      <c r="I257" s="28">
        <v>1450</v>
      </c>
      <c r="J257" s="38" t="s">
        <v>707</v>
      </c>
      <c r="K257" s="39">
        <v>1824</v>
      </c>
      <c r="L257" s="40">
        <v>2.48</v>
      </c>
      <c r="M257" s="157" t="s">
        <v>1260</v>
      </c>
      <c r="N257" s="157" t="s">
        <v>1260</v>
      </c>
    </row>
    <row r="258" spans="2:14" ht="15" thickBot="1">
      <c r="B258" s="13" t="s">
        <v>1149</v>
      </c>
      <c r="C258" s="14">
        <v>160</v>
      </c>
      <c r="D258" s="15">
        <v>220</v>
      </c>
      <c r="E258" s="14">
        <v>800</v>
      </c>
      <c r="F258" s="28">
        <v>40</v>
      </c>
      <c r="G258" s="136">
        <v>63.5</v>
      </c>
      <c r="H258" s="27" t="s">
        <v>1105</v>
      </c>
      <c r="I258" s="28">
        <v>1450</v>
      </c>
      <c r="J258" s="38" t="s">
        <v>707</v>
      </c>
      <c r="K258" s="39">
        <v>1834</v>
      </c>
      <c r="L258" s="40">
        <v>2.48</v>
      </c>
      <c r="M258" s="157" t="s">
        <v>1260</v>
      </c>
      <c r="N258" s="157" t="s">
        <v>1260</v>
      </c>
    </row>
    <row r="259" spans="2:14" ht="15" thickBot="1">
      <c r="B259" s="13" t="s">
        <v>1150</v>
      </c>
      <c r="C259" s="14">
        <v>160</v>
      </c>
      <c r="D259" s="15">
        <v>220</v>
      </c>
      <c r="E259" s="14">
        <v>1000</v>
      </c>
      <c r="F259" s="28">
        <v>35</v>
      </c>
      <c r="G259" s="136">
        <v>37</v>
      </c>
      <c r="H259" s="27" t="s">
        <v>850</v>
      </c>
      <c r="I259" s="28">
        <v>1450</v>
      </c>
      <c r="J259" s="38" t="s">
        <v>707</v>
      </c>
      <c r="K259" s="39">
        <v>1944</v>
      </c>
      <c r="L259" s="40">
        <v>2.48</v>
      </c>
      <c r="M259" s="157" t="s">
        <v>1260</v>
      </c>
      <c r="N259" s="157" t="s">
        <v>1260</v>
      </c>
    </row>
    <row r="260" spans="2:14" ht="15" thickBot="1">
      <c r="B260" s="13" t="s">
        <v>2576</v>
      </c>
      <c r="C260" s="14">
        <v>160</v>
      </c>
      <c r="D260" s="15">
        <v>220</v>
      </c>
      <c r="E260" s="14">
        <v>1400</v>
      </c>
      <c r="F260" s="28">
        <v>23</v>
      </c>
      <c r="G260" s="136">
        <v>41</v>
      </c>
      <c r="H260" s="27" t="s">
        <v>850</v>
      </c>
      <c r="I260" s="28">
        <v>980</v>
      </c>
      <c r="J260" s="38" t="s">
        <v>707</v>
      </c>
      <c r="K260" s="39">
        <v>2826</v>
      </c>
      <c r="L260" s="40">
        <v>3.23</v>
      </c>
      <c r="M260" s="157" t="s">
        <v>1260</v>
      </c>
      <c r="N260" s="157" t="s">
        <v>1260</v>
      </c>
    </row>
    <row r="261" spans="2:14" ht="15" thickBot="1">
      <c r="B261" s="13" t="s">
        <v>1151</v>
      </c>
      <c r="C261" s="14">
        <v>185</v>
      </c>
      <c r="D261" s="15">
        <v>250</v>
      </c>
      <c r="E261" s="14">
        <v>200</v>
      </c>
      <c r="F261" s="28">
        <v>110</v>
      </c>
      <c r="G261" s="136">
        <v>112</v>
      </c>
      <c r="H261" s="27" t="s">
        <v>1100</v>
      </c>
      <c r="I261" s="28">
        <v>1450</v>
      </c>
      <c r="J261" s="38" t="s">
        <v>707</v>
      </c>
      <c r="K261" s="39">
        <v>1793</v>
      </c>
      <c r="L261" s="40">
        <v>2.75</v>
      </c>
      <c r="M261" s="157" t="s">
        <v>1260</v>
      </c>
      <c r="N261" s="157" t="s">
        <v>1260</v>
      </c>
    </row>
    <row r="262" spans="2:14" ht="15" thickBot="1">
      <c r="B262" s="13" t="s">
        <v>1152</v>
      </c>
      <c r="C262" s="14">
        <v>185</v>
      </c>
      <c r="D262" s="15">
        <v>250</v>
      </c>
      <c r="E262" s="14">
        <v>400</v>
      </c>
      <c r="F262" s="28">
        <v>90</v>
      </c>
      <c r="G262" s="136">
        <v>105</v>
      </c>
      <c r="H262" s="27" t="s">
        <v>1102</v>
      </c>
      <c r="I262" s="28">
        <v>1450</v>
      </c>
      <c r="J262" s="38" t="s">
        <v>707</v>
      </c>
      <c r="K262" s="39">
        <v>1843</v>
      </c>
      <c r="L262" s="40">
        <v>2.75</v>
      </c>
      <c r="M262" s="157" t="s">
        <v>1260</v>
      </c>
      <c r="N262" s="157" t="s">
        <v>1260</v>
      </c>
    </row>
    <row r="263" spans="2:14" ht="15" thickBot="1">
      <c r="B263" s="13" t="s">
        <v>1153</v>
      </c>
      <c r="C263" s="14">
        <v>185</v>
      </c>
      <c r="D263" s="15">
        <v>250</v>
      </c>
      <c r="E263" s="14">
        <v>600</v>
      </c>
      <c r="F263" s="28">
        <v>70</v>
      </c>
      <c r="G263" s="136">
        <v>77</v>
      </c>
      <c r="H263" s="27" t="s">
        <v>848</v>
      </c>
      <c r="I263" s="28">
        <v>1450</v>
      </c>
      <c r="J263" s="38" t="s">
        <v>707</v>
      </c>
      <c r="K263" s="39">
        <v>1893</v>
      </c>
      <c r="L263" s="40">
        <v>2.75</v>
      </c>
      <c r="M263" s="157" t="s">
        <v>1260</v>
      </c>
      <c r="N263" s="157" t="s">
        <v>1260</v>
      </c>
    </row>
    <row r="264" spans="2:14" ht="15" thickBot="1">
      <c r="B264" s="13" t="s">
        <v>1154</v>
      </c>
      <c r="C264" s="14">
        <v>185</v>
      </c>
      <c r="D264" s="15">
        <v>250</v>
      </c>
      <c r="E264" s="14">
        <v>900</v>
      </c>
      <c r="F264" s="28">
        <v>40</v>
      </c>
      <c r="G264" s="136">
        <v>66</v>
      </c>
      <c r="H264" s="27" t="s">
        <v>1105</v>
      </c>
      <c r="I264" s="28">
        <v>1450</v>
      </c>
      <c r="J264" s="38" t="s">
        <v>707</v>
      </c>
      <c r="K264" s="39">
        <v>1943</v>
      </c>
      <c r="L264" s="40">
        <v>2.75</v>
      </c>
      <c r="M264" s="157" t="s">
        <v>1260</v>
      </c>
      <c r="N264" s="157" t="s">
        <v>1260</v>
      </c>
    </row>
    <row r="265" spans="2:14" ht="15" thickBot="1">
      <c r="B265" s="13" t="s">
        <v>2577</v>
      </c>
      <c r="C265" s="14">
        <v>185</v>
      </c>
      <c r="D265" s="15">
        <v>250</v>
      </c>
      <c r="E265" s="14">
        <v>1100</v>
      </c>
      <c r="F265" s="28">
        <v>35</v>
      </c>
      <c r="G265" s="136">
        <v>48</v>
      </c>
      <c r="H265" s="27" t="s">
        <v>850</v>
      </c>
      <c r="I265" s="28">
        <v>1450</v>
      </c>
      <c r="J265" s="38" t="s">
        <v>707</v>
      </c>
      <c r="K265" s="39">
        <v>1993</v>
      </c>
      <c r="L265" s="40">
        <v>2.75</v>
      </c>
      <c r="M265" s="157" t="s">
        <v>1260</v>
      </c>
      <c r="N265" s="157" t="s">
        <v>1260</v>
      </c>
    </row>
    <row r="266" spans="2:14" ht="15" thickBot="1">
      <c r="B266" s="13" t="s">
        <v>2578</v>
      </c>
      <c r="C266" s="14">
        <v>200</v>
      </c>
      <c r="D266" s="15">
        <v>270</v>
      </c>
      <c r="E266" s="14">
        <v>750</v>
      </c>
      <c r="F266" s="28">
        <v>60</v>
      </c>
      <c r="G266" s="136">
        <v>82</v>
      </c>
      <c r="H266" s="27" t="s">
        <v>848</v>
      </c>
      <c r="I266" s="28">
        <v>1450</v>
      </c>
      <c r="J266" s="38" t="s">
        <v>707</v>
      </c>
      <c r="K266" s="39">
        <v>1987</v>
      </c>
      <c r="L266" s="40">
        <v>2.96</v>
      </c>
      <c r="M266" s="157" t="s">
        <v>1260</v>
      </c>
      <c r="N266" s="157" t="s">
        <v>1260</v>
      </c>
    </row>
    <row r="267" spans="2:14" ht="15" thickBot="1">
      <c r="B267" s="13" t="s">
        <v>1155</v>
      </c>
      <c r="C267" s="14">
        <v>200</v>
      </c>
      <c r="D267" s="15">
        <v>270</v>
      </c>
      <c r="E267" s="14">
        <v>1000</v>
      </c>
      <c r="F267" s="28">
        <v>45</v>
      </c>
      <c r="G267" s="136">
        <v>54</v>
      </c>
      <c r="H267" s="27" t="s">
        <v>1105</v>
      </c>
      <c r="I267" s="28">
        <v>1450</v>
      </c>
      <c r="J267" s="38" t="s">
        <v>707</v>
      </c>
      <c r="K267" s="39">
        <v>2007</v>
      </c>
      <c r="L267" s="40">
        <v>2.96</v>
      </c>
      <c r="M267" s="157" t="s">
        <v>1260</v>
      </c>
      <c r="N267" s="157" t="s">
        <v>1260</v>
      </c>
    </row>
    <row r="268" spans="2:14" ht="15" thickBot="1">
      <c r="B268" s="13" t="s">
        <v>1156</v>
      </c>
      <c r="C268" s="14">
        <v>200</v>
      </c>
      <c r="D268" s="15">
        <v>270</v>
      </c>
      <c r="E268" s="14">
        <v>1300</v>
      </c>
      <c r="F268" s="28">
        <v>35</v>
      </c>
      <c r="G268" s="136">
        <v>64</v>
      </c>
      <c r="H268" s="27" t="s">
        <v>850</v>
      </c>
      <c r="I268" s="28">
        <v>1450</v>
      </c>
      <c r="J268" s="38" t="s">
        <v>707</v>
      </c>
      <c r="K268" s="39">
        <v>2107</v>
      </c>
      <c r="L268" s="40">
        <v>2.96</v>
      </c>
      <c r="M268" s="157" t="s">
        <v>1260</v>
      </c>
      <c r="N268" s="157" t="s">
        <v>1260</v>
      </c>
    </row>
    <row r="269" spans="2:14" ht="15" thickBot="1">
      <c r="B269" s="13" t="s">
        <v>1157</v>
      </c>
      <c r="C269" s="14">
        <v>250</v>
      </c>
      <c r="D269" s="15">
        <v>340</v>
      </c>
      <c r="E269" s="14">
        <v>1100</v>
      </c>
      <c r="F269" s="28">
        <v>45</v>
      </c>
      <c r="G269" s="136">
        <v>58</v>
      </c>
      <c r="H269" s="27" t="s">
        <v>1105</v>
      </c>
      <c r="I269" s="28">
        <v>1450</v>
      </c>
      <c r="J269" s="38" t="s">
        <v>707</v>
      </c>
      <c r="K269" s="39">
        <v>2552</v>
      </c>
      <c r="L269" s="40">
        <v>3.6</v>
      </c>
      <c r="M269" s="157" t="s">
        <v>1260</v>
      </c>
      <c r="N269" s="157" t="s">
        <v>1260</v>
      </c>
    </row>
    <row r="270" spans="2:14" ht="15" thickBot="1">
      <c r="B270" s="13" t="s">
        <v>1158</v>
      </c>
      <c r="C270" s="14">
        <v>250</v>
      </c>
      <c r="D270" s="15">
        <v>340</v>
      </c>
      <c r="E270" s="14">
        <v>1500</v>
      </c>
      <c r="F270" s="28">
        <v>36</v>
      </c>
      <c r="G270" s="136">
        <v>66</v>
      </c>
      <c r="H270" s="27" t="s">
        <v>850</v>
      </c>
      <c r="I270" s="28">
        <v>1450</v>
      </c>
      <c r="J270" s="38" t="s">
        <v>707</v>
      </c>
      <c r="K270" s="39">
        <v>2652</v>
      </c>
      <c r="L270" s="40">
        <v>3.6</v>
      </c>
      <c r="M270" s="157" t="s">
        <v>1260</v>
      </c>
      <c r="N270" s="157" t="s">
        <v>1260</v>
      </c>
    </row>
    <row r="271" spans="2:14" ht="15" thickBot="1">
      <c r="B271" s="13" t="s">
        <v>1159</v>
      </c>
      <c r="C271" s="14">
        <v>315</v>
      </c>
      <c r="D271" s="15">
        <v>430</v>
      </c>
      <c r="E271" s="14">
        <v>1000</v>
      </c>
      <c r="F271" s="28">
        <v>55</v>
      </c>
      <c r="G271" s="136">
        <v>66</v>
      </c>
      <c r="H271" s="27" t="s">
        <v>1105</v>
      </c>
      <c r="I271" s="28">
        <v>1450</v>
      </c>
      <c r="J271" s="38" t="s">
        <v>707</v>
      </c>
      <c r="K271" s="39">
        <v>3101</v>
      </c>
      <c r="L271" s="40">
        <v>4.3</v>
      </c>
      <c r="M271" s="157" t="s">
        <v>1260</v>
      </c>
      <c r="N271" s="157" t="s">
        <v>1260</v>
      </c>
    </row>
    <row r="272" spans="2:14" ht="15" thickBot="1">
      <c r="B272" s="13" t="s">
        <v>1160</v>
      </c>
      <c r="C272" s="14">
        <v>315</v>
      </c>
      <c r="D272" s="15">
        <v>430</v>
      </c>
      <c r="E272" s="14">
        <v>1500</v>
      </c>
      <c r="F272" s="28">
        <v>45</v>
      </c>
      <c r="G272" s="136">
        <v>70</v>
      </c>
      <c r="H272" s="27">
        <v>350</v>
      </c>
      <c r="I272" s="28">
        <v>1450</v>
      </c>
      <c r="J272" s="38" t="s">
        <v>707</v>
      </c>
      <c r="K272" s="39">
        <v>3201</v>
      </c>
      <c r="L272" s="40">
        <v>4.3</v>
      </c>
      <c r="M272" s="157" t="s">
        <v>1260</v>
      </c>
      <c r="N272" s="157" t="s">
        <v>1260</v>
      </c>
    </row>
    <row r="273" spans="2:14" ht="23.25" thickBot="1">
      <c r="B273" s="63"/>
      <c r="C273" s="63"/>
      <c r="D273" s="63"/>
      <c r="E273" s="63"/>
      <c r="F273" s="63"/>
      <c r="G273" s="63"/>
      <c r="H273" s="63"/>
      <c r="I273" s="1"/>
      <c r="J273" s="63"/>
      <c r="K273" s="1"/>
      <c r="L273" s="1"/>
      <c r="M273" s="63"/>
      <c r="N273" s="63"/>
    </row>
    <row r="274" spans="2:14" ht="15">
      <c r="B274" s="44" t="s">
        <v>190</v>
      </c>
      <c r="C274" s="45" t="s">
        <v>527</v>
      </c>
      <c r="D274" s="46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2:14" ht="15">
      <c r="B275" s="47" t="s">
        <v>192</v>
      </c>
      <c r="C275" s="48" t="s">
        <v>191</v>
      </c>
      <c r="D275" s="49"/>
      <c r="E275" s="52"/>
      <c r="F275" s="52"/>
      <c r="G275" s="52"/>
      <c r="H275" s="52"/>
      <c r="I275" s="52"/>
      <c r="J275" s="52"/>
      <c r="K275" s="52"/>
      <c r="L275" s="52"/>
      <c r="M275" s="52"/>
      <c r="N275" s="52"/>
    </row>
    <row r="276" spans="2:14" ht="15">
      <c r="B276" s="47" t="s">
        <v>193</v>
      </c>
      <c r="C276" s="48" t="s">
        <v>898</v>
      </c>
      <c r="D276" s="49"/>
      <c r="E276" s="52"/>
      <c r="F276" s="52"/>
      <c r="G276" s="52"/>
      <c r="H276" s="52"/>
      <c r="I276" s="52"/>
      <c r="J276" s="52"/>
      <c r="K276" s="52"/>
      <c r="L276" s="52"/>
      <c r="M276" s="52"/>
      <c r="N276" s="52"/>
    </row>
    <row r="277" spans="2:14" ht="15">
      <c r="B277" s="47" t="s">
        <v>1393</v>
      </c>
      <c r="C277" s="48" t="s">
        <v>2979</v>
      </c>
      <c r="D277" s="49"/>
      <c r="E277" s="52"/>
      <c r="F277" s="52"/>
      <c r="G277" s="52"/>
      <c r="H277" s="52"/>
      <c r="I277" s="52"/>
      <c r="J277" s="52"/>
      <c r="K277" s="52"/>
      <c r="L277" s="52"/>
      <c r="M277" s="52"/>
      <c r="N277" s="52"/>
    </row>
    <row r="278" spans="2:14" ht="15">
      <c r="B278" s="60" t="s">
        <v>935</v>
      </c>
      <c r="C278" s="56" t="s">
        <v>936</v>
      </c>
      <c r="D278" s="57"/>
      <c r="E278" s="58"/>
      <c r="F278" s="58"/>
      <c r="G278" s="58"/>
      <c r="H278" s="58"/>
      <c r="I278" s="58"/>
      <c r="J278" s="58"/>
      <c r="K278" s="58"/>
      <c r="L278" s="58"/>
      <c r="M278" s="58"/>
      <c r="N278" s="58"/>
    </row>
  </sheetData>
  <mergeCells count="12">
    <mergeCell ref="B1:M2"/>
    <mergeCell ref="L85:M92"/>
    <mergeCell ref="B8:B9"/>
    <mergeCell ref="C8:D9"/>
    <mergeCell ref="E8:F8"/>
    <mergeCell ref="L8:M8"/>
    <mergeCell ref="L9:M9"/>
    <mergeCell ref="B102:B103"/>
    <mergeCell ref="C102:D103"/>
    <mergeCell ref="E102:G102"/>
    <mergeCell ref="M102:N102"/>
    <mergeCell ref="M103:N10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>
    <tabColor rgb="FFFF0000"/>
  </sheetPr>
  <dimension ref="A1:O37"/>
  <sheetViews>
    <sheetView zoomScale="93" zoomScaleNormal="93" workbookViewId="0">
      <selection activeCell="S1" sqref="S1"/>
    </sheetView>
  </sheetViews>
  <sheetFormatPr defaultRowHeight="14.25"/>
  <cols>
    <col min="1" max="1" width="34.125" customWidth="1"/>
    <col min="2" max="2" width="20.25" customWidth="1"/>
    <col min="8" max="8" width="15.625" customWidth="1"/>
    <col min="10" max="10" width="11.5" customWidth="1"/>
    <col min="13" max="13" width="10.25" customWidth="1"/>
    <col min="14" max="14" width="17.25" customWidth="1"/>
  </cols>
  <sheetData>
    <row r="1" spans="1:15" ht="15">
      <c r="A1" s="121"/>
      <c r="B1" s="122"/>
      <c r="C1" s="288" t="s">
        <v>2688</v>
      </c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</row>
    <row r="2" spans="1:15" ht="64.5" customHeight="1">
      <c r="A2" s="121"/>
      <c r="B2" s="122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</row>
    <row r="3" spans="1:15" ht="3.75" hidden="1" customHeight="1">
      <c r="A3" s="121"/>
      <c r="B3" s="122"/>
      <c r="C3" s="123"/>
      <c r="D3" s="128"/>
      <c r="E3" s="128"/>
      <c r="F3" s="130"/>
      <c r="G3" s="130"/>
      <c r="H3" s="130"/>
      <c r="I3" s="130"/>
      <c r="J3" s="130"/>
      <c r="K3" s="130"/>
      <c r="L3" s="130"/>
      <c r="M3" s="130"/>
      <c r="N3" s="131"/>
    </row>
    <row r="4" spans="1:15" ht="20.25" hidden="1">
      <c r="A4" s="121"/>
      <c r="B4" s="122"/>
      <c r="C4" s="123"/>
      <c r="D4" s="128"/>
      <c r="E4" s="128"/>
      <c r="F4" s="130"/>
      <c r="G4" s="130"/>
      <c r="H4" s="130"/>
      <c r="I4" s="130"/>
      <c r="J4" s="130"/>
      <c r="K4" s="130"/>
      <c r="L4" s="130"/>
      <c r="M4" s="130"/>
      <c r="N4" s="131"/>
    </row>
    <row r="5" spans="1:15" ht="18" hidden="1">
      <c r="A5" s="117"/>
      <c r="B5" s="132"/>
      <c r="C5" s="132"/>
      <c r="D5" s="132"/>
      <c r="E5" s="132"/>
      <c r="F5" s="132"/>
      <c r="G5" s="132"/>
      <c r="H5" s="132"/>
      <c r="I5" s="132"/>
      <c r="J5" s="132"/>
      <c r="K5" s="144"/>
      <c r="L5" s="144"/>
      <c r="M5" s="132"/>
      <c r="N5" s="132"/>
      <c r="O5" s="117"/>
    </row>
    <row r="6" spans="1:15" ht="25.5">
      <c r="A6" s="4"/>
      <c r="B6" s="113" t="s">
        <v>2722</v>
      </c>
      <c r="C6" s="62"/>
      <c r="D6" s="62"/>
      <c r="E6" s="62"/>
      <c r="F6" s="62"/>
      <c r="G6" s="62"/>
      <c r="H6" s="62"/>
      <c r="I6" s="17"/>
      <c r="J6" s="62"/>
      <c r="K6" s="29"/>
      <c r="L6" s="29"/>
      <c r="M6" s="62"/>
      <c r="N6" s="62"/>
      <c r="O6" s="1"/>
    </row>
    <row r="7" spans="1:15" ht="22.5" customHeight="1" thickBot="1">
      <c r="A7" s="7"/>
      <c r="B7" s="299" t="s">
        <v>2739</v>
      </c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1"/>
    </row>
    <row r="8" spans="1:15" ht="42.75">
      <c r="A8" s="3"/>
      <c r="B8" s="253" t="s">
        <v>2680</v>
      </c>
      <c r="C8" s="255" t="s">
        <v>2667</v>
      </c>
      <c r="D8" s="253"/>
      <c r="E8" s="257" t="s">
        <v>2730</v>
      </c>
      <c r="F8" s="258"/>
      <c r="G8" s="258"/>
      <c r="H8" s="18" t="s">
        <v>2738</v>
      </c>
      <c r="I8" s="19" t="s">
        <v>4</v>
      </c>
      <c r="J8" s="30" t="s">
        <v>2729</v>
      </c>
      <c r="K8" s="31" t="s">
        <v>2675</v>
      </c>
      <c r="L8" s="31" t="s">
        <v>2677</v>
      </c>
      <c r="M8" s="259" t="s">
        <v>2731</v>
      </c>
      <c r="N8" s="255"/>
      <c r="O8" s="2"/>
    </row>
    <row r="9" spans="1:15" ht="15">
      <c r="A9" s="9"/>
      <c r="B9" s="254"/>
      <c r="C9" s="256"/>
      <c r="D9" s="254"/>
      <c r="E9" s="20" t="s">
        <v>2736</v>
      </c>
      <c r="F9" s="33" t="s">
        <v>2735</v>
      </c>
      <c r="G9" s="10" t="s">
        <v>2737</v>
      </c>
      <c r="H9" s="21"/>
      <c r="I9" s="22"/>
      <c r="J9" s="32"/>
      <c r="K9" s="33"/>
      <c r="L9" s="33"/>
      <c r="M9" s="260" t="s">
        <v>2732</v>
      </c>
      <c r="N9" s="261"/>
      <c r="O9" s="3"/>
    </row>
    <row r="10" spans="1:15" ht="15.75" thickBot="1">
      <c r="A10" s="3"/>
      <c r="B10" s="11"/>
      <c r="C10" s="12" t="s">
        <v>2668</v>
      </c>
      <c r="D10" s="11" t="s">
        <v>2725</v>
      </c>
      <c r="E10" s="23" t="s">
        <v>2726</v>
      </c>
      <c r="F10" s="133" t="s">
        <v>2727</v>
      </c>
      <c r="G10" s="134" t="s">
        <v>2727</v>
      </c>
      <c r="H10" s="25" t="s">
        <v>2728</v>
      </c>
      <c r="I10" s="26" t="s">
        <v>2673</v>
      </c>
      <c r="J10" s="34"/>
      <c r="K10" s="35" t="s">
        <v>2676</v>
      </c>
      <c r="L10" s="196" t="s">
        <v>2678</v>
      </c>
      <c r="M10" s="37" t="s">
        <v>2733</v>
      </c>
      <c r="N10" s="43" t="s">
        <v>2734</v>
      </c>
      <c r="O10" s="2"/>
    </row>
    <row r="11" spans="1:15" ht="15.75" thickBot="1">
      <c r="A11" s="2"/>
      <c r="B11" s="13" t="s">
        <v>2699</v>
      </c>
      <c r="C11" s="14">
        <v>1.5</v>
      </c>
      <c r="D11" s="15">
        <v>2</v>
      </c>
      <c r="E11" s="14">
        <v>15</v>
      </c>
      <c r="F11" s="28">
        <v>12.5</v>
      </c>
      <c r="G11" s="136">
        <v>15.5</v>
      </c>
      <c r="H11" s="27">
        <v>50</v>
      </c>
      <c r="I11" s="28">
        <v>2900</v>
      </c>
      <c r="J11" s="38" t="s">
        <v>1372</v>
      </c>
      <c r="K11" s="39">
        <v>39</v>
      </c>
      <c r="L11" s="197">
        <f>0.6*0.27*0.25</f>
        <v>4.0500000000000001E-2</v>
      </c>
      <c r="M11" s="231">
        <v>500.15699999999998</v>
      </c>
      <c r="N11" s="231">
        <v>459.45899999999995</v>
      </c>
      <c r="O11" s="2"/>
    </row>
    <row r="12" spans="1:15" ht="15.75" thickBot="1">
      <c r="A12" s="2"/>
      <c r="B12" s="13" t="s">
        <v>2700</v>
      </c>
      <c r="C12" s="14">
        <v>2.2000000000000002</v>
      </c>
      <c r="D12" s="15">
        <v>3</v>
      </c>
      <c r="E12" s="14">
        <v>18</v>
      </c>
      <c r="F12" s="28">
        <v>14</v>
      </c>
      <c r="G12" s="136">
        <v>17.3</v>
      </c>
      <c r="H12" s="27">
        <v>50</v>
      </c>
      <c r="I12" s="28">
        <v>2900</v>
      </c>
      <c r="J12" s="38" t="s">
        <v>1372</v>
      </c>
      <c r="K12" s="39">
        <v>44</v>
      </c>
      <c r="L12" s="197">
        <f>0.61*0.29*0.29</f>
        <v>5.1300999999999986E-2</v>
      </c>
      <c r="M12" s="231"/>
      <c r="N12" s="231">
        <v>499.8</v>
      </c>
      <c r="O12" s="2"/>
    </row>
    <row r="13" spans="1:15" ht="15.75" thickBot="1">
      <c r="A13" s="2"/>
      <c r="B13" s="13" t="s">
        <v>2701</v>
      </c>
      <c r="C13" s="14">
        <v>3</v>
      </c>
      <c r="D13" s="15">
        <v>4</v>
      </c>
      <c r="E13" s="14">
        <v>20</v>
      </c>
      <c r="F13" s="28">
        <v>14.5</v>
      </c>
      <c r="G13" s="136">
        <v>18</v>
      </c>
      <c r="H13" s="27">
        <v>50</v>
      </c>
      <c r="I13" s="28">
        <v>2900</v>
      </c>
      <c r="J13" s="38" t="s">
        <v>1372</v>
      </c>
      <c r="K13" s="39">
        <v>49</v>
      </c>
      <c r="L13" s="197">
        <f>0.63*0.26*0.3</f>
        <v>4.9139999999999996E-2</v>
      </c>
      <c r="M13" s="231"/>
      <c r="N13" s="231">
        <v>688.29600000000005</v>
      </c>
      <c r="O13" s="2"/>
    </row>
    <row r="14" spans="1:15" ht="15.75" thickBot="1">
      <c r="A14" s="2"/>
      <c r="B14" s="13" t="s">
        <v>2702</v>
      </c>
      <c r="C14" s="14">
        <v>4</v>
      </c>
      <c r="D14" s="15">
        <v>5.5</v>
      </c>
      <c r="E14" s="14">
        <v>24</v>
      </c>
      <c r="F14" s="28">
        <v>19.2</v>
      </c>
      <c r="G14" s="136">
        <v>24</v>
      </c>
      <c r="H14" s="27">
        <v>50</v>
      </c>
      <c r="I14" s="28">
        <v>2900</v>
      </c>
      <c r="J14" s="38" t="s">
        <v>1372</v>
      </c>
      <c r="K14" s="39">
        <v>56</v>
      </c>
      <c r="L14" s="197">
        <f>0.64*0.29*0.32</f>
        <v>5.9392E-2</v>
      </c>
      <c r="M14" s="231"/>
      <c r="N14" s="231">
        <v>771.12</v>
      </c>
      <c r="O14" s="2"/>
    </row>
    <row r="15" spans="1:15" ht="15.75" thickBot="1">
      <c r="A15" s="2"/>
      <c r="B15" s="13" t="s">
        <v>2703</v>
      </c>
      <c r="C15" s="14">
        <v>1.5</v>
      </c>
      <c r="D15" s="15">
        <v>2</v>
      </c>
      <c r="E15" s="14">
        <v>30</v>
      </c>
      <c r="F15" s="28">
        <v>9.3000000000000007</v>
      </c>
      <c r="G15" s="136">
        <v>16.5</v>
      </c>
      <c r="H15" s="27">
        <v>65</v>
      </c>
      <c r="I15" s="28">
        <v>2900</v>
      </c>
      <c r="J15" s="38" t="s">
        <v>1372</v>
      </c>
      <c r="K15" s="39">
        <v>39</v>
      </c>
      <c r="L15" s="197">
        <f>0.6*0.27*0.25</f>
        <v>4.0500000000000001E-2</v>
      </c>
      <c r="M15" s="231">
        <v>511.22399999999993</v>
      </c>
      <c r="N15" s="231">
        <v>470.52600000000007</v>
      </c>
      <c r="O15" s="2"/>
    </row>
    <row r="16" spans="1:15" ht="15.75" thickBot="1">
      <c r="A16" s="2"/>
      <c r="B16" s="13" t="s">
        <v>2704</v>
      </c>
      <c r="C16" s="14">
        <v>2.2000000000000002</v>
      </c>
      <c r="D16" s="15">
        <v>3</v>
      </c>
      <c r="E16" s="14">
        <v>30</v>
      </c>
      <c r="F16" s="28">
        <v>11</v>
      </c>
      <c r="G16" s="136">
        <v>18</v>
      </c>
      <c r="H16" s="27">
        <v>65</v>
      </c>
      <c r="I16" s="28">
        <v>2900</v>
      </c>
      <c r="J16" s="38" t="s">
        <v>1372</v>
      </c>
      <c r="K16" s="39">
        <v>45</v>
      </c>
      <c r="L16" s="197">
        <f>0.61*0.29*0.29</f>
        <v>5.1300999999999986E-2</v>
      </c>
      <c r="M16" s="231"/>
      <c r="N16" s="231">
        <v>510.86699999999996</v>
      </c>
      <c r="O16" s="2"/>
    </row>
    <row r="17" spans="1:15" ht="15.75" thickBot="1">
      <c r="A17" s="2"/>
      <c r="B17" s="13" t="s">
        <v>2705</v>
      </c>
      <c r="C17" s="14">
        <v>3</v>
      </c>
      <c r="D17" s="15">
        <v>4</v>
      </c>
      <c r="E17" s="14">
        <v>33</v>
      </c>
      <c r="F17" s="28">
        <v>11.5</v>
      </c>
      <c r="G17" s="136">
        <v>18.2</v>
      </c>
      <c r="H17" s="27">
        <v>65</v>
      </c>
      <c r="I17" s="28">
        <v>2900</v>
      </c>
      <c r="J17" s="38" t="s">
        <v>1372</v>
      </c>
      <c r="K17" s="39">
        <v>50</v>
      </c>
      <c r="L17" s="197">
        <f>0.63*0.26*0.3</f>
        <v>4.9139999999999996E-2</v>
      </c>
      <c r="M17" s="231"/>
      <c r="N17" s="231">
        <v>700.43399999999997</v>
      </c>
      <c r="O17" s="2"/>
    </row>
    <row r="18" spans="1:15" ht="15.75" thickBot="1">
      <c r="A18" s="2"/>
      <c r="B18" s="13" t="s">
        <v>2706</v>
      </c>
      <c r="C18" s="14">
        <v>4</v>
      </c>
      <c r="D18" s="15">
        <v>5.5</v>
      </c>
      <c r="E18" s="14">
        <v>36</v>
      </c>
      <c r="F18" s="28">
        <v>16</v>
      </c>
      <c r="G18" s="136">
        <v>23</v>
      </c>
      <c r="H18" s="27">
        <v>65</v>
      </c>
      <c r="I18" s="28">
        <v>2900</v>
      </c>
      <c r="J18" s="38" t="s">
        <v>1372</v>
      </c>
      <c r="K18" s="39">
        <v>56</v>
      </c>
      <c r="L18" s="197">
        <f>0.64*0.29*0.32</f>
        <v>5.9392E-2</v>
      </c>
      <c r="M18" s="231"/>
      <c r="N18" s="231">
        <v>783.61500000000001</v>
      </c>
      <c r="O18" s="2"/>
    </row>
    <row r="19" spans="1:15" ht="15.75" thickBot="1">
      <c r="A19" s="2"/>
      <c r="B19" s="13" t="s">
        <v>2707</v>
      </c>
      <c r="C19" s="14">
        <v>1.5</v>
      </c>
      <c r="D19" s="15">
        <v>2</v>
      </c>
      <c r="E19" s="14">
        <v>24</v>
      </c>
      <c r="F19" s="28">
        <v>9.5</v>
      </c>
      <c r="G19" s="136">
        <v>15.2</v>
      </c>
      <c r="H19" s="27">
        <v>80</v>
      </c>
      <c r="I19" s="28">
        <v>2900</v>
      </c>
      <c r="J19" s="38" t="s">
        <v>1372</v>
      </c>
      <c r="K19" s="39">
        <v>39</v>
      </c>
      <c r="L19" s="197">
        <f>0.6*0.27*0.25</f>
        <v>4.0500000000000001E-2</v>
      </c>
      <c r="M19" s="231">
        <v>533.71500000000003</v>
      </c>
      <c r="N19" s="231">
        <v>492.66</v>
      </c>
      <c r="O19" s="2"/>
    </row>
    <row r="20" spans="1:15" ht="15.75" thickBot="1">
      <c r="A20" s="2"/>
      <c r="B20" s="13" t="s">
        <v>2708</v>
      </c>
      <c r="C20" s="14">
        <v>2.2000000000000002</v>
      </c>
      <c r="D20" s="15">
        <v>3</v>
      </c>
      <c r="E20" s="14">
        <v>30</v>
      </c>
      <c r="F20" s="28">
        <v>10.5</v>
      </c>
      <c r="G20" s="136">
        <v>17.7</v>
      </c>
      <c r="H20" s="27">
        <v>80</v>
      </c>
      <c r="I20" s="28">
        <v>2900</v>
      </c>
      <c r="J20" s="38" t="s">
        <v>1372</v>
      </c>
      <c r="K20" s="39">
        <v>44</v>
      </c>
      <c r="L20" s="197">
        <f>0.61*0.29*0.29</f>
        <v>5.1300999999999986E-2</v>
      </c>
      <c r="M20" s="231"/>
      <c r="N20" s="231">
        <v>533.71500000000003</v>
      </c>
      <c r="O20" s="2"/>
    </row>
    <row r="21" spans="1:15" ht="15.75" thickBot="1">
      <c r="A21" s="2"/>
      <c r="B21" s="13" t="s">
        <v>2709</v>
      </c>
      <c r="C21" s="14">
        <v>3</v>
      </c>
      <c r="D21" s="15">
        <v>4</v>
      </c>
      <c r="E21" s="14">
        <v>36</v>
      </c>
      <c r="F21" s="28">
        <v>11</v>
      </c>
      <c r="G21" s="136">
        <v>18.5</v>
      </c>
      <c r="H21" s="27">
        <v>80</v>
      </c>
      <c r="I21" s="28">
        <v>2900</v>
      </c>
      <c r="J21" s="38" t="s">
        <v>1372</v>
      </c>
      <c r="K21" s="39">
        <v>51</v>
      </c>
      <c r="L21" s="197">
        <f>0.63*0.26*0.3</f>
        <v>4.9139999999999996E-2</v>
      </c>
      <c r="M21" s="231"/>
      <c r="N21" s="231">
        <v>741.13200000000006</v>
      </c>
      <c r="O21" s="2"/>
    </row>
    <row r="22" spans="1:15" ht="15.75" thickBot="1">
      <c r="A22" s="2"/>
      <c r="B22" s="13" t="s">
        <v>2710</v>
      </c>
      <c r="C22" s="14">
        <v>4</v>
      </c>
      <c r="D22" s="15">
        <v>5.5</v>
      </c>
      <c r="E22" s="14">
        <v>36</v>
      </c>
      <c r="F22" s="28">
        <v>14</v>
      </c>
      <c r="G22" s="136">
        <v>21.5</v>
      </c>
      <c r="H22" s="27">
        <v>80</v>
      </c>
      <c r="I22" s="28">
        <v>2900</v>
      </c>
      <c r="J22" s="38" t="s">
        <v>1372</v>
      </c>
      <c r="K22" s="39">
        <v>58</v>
      </c>
      <c r="L22" s="197">
        <f>0.64*0.29*0.32</f>
        <v>5.9392E-2</v>
      </c>
      <c r="M22" s="231"/>
      <c r="N22" s="231">
        <v>797.53800000000001</v>
      </c>
      <c r="O22" s="2"/>
    </row>
    <row r="23" spans="1:15" ht="15.75" thickBot="1">
      <c r="A23" s="2"/>
      <c r="B23" s="13" t="s">
        <v>2711</v>
      </c>
      <c r="C23" s="14">
        <v>5.5</v>
      </c>
      <c r="D23" s="15">
        <v>7.5</v>
      </c>
      <c r="E23" s="14">
        <v>45</v>
      </c>
      <c r="F23" s="28">
        <v>18</v>
      </c>
      <c r="G23" s="136">
        <v>28.4</v>
      </c>
      <c r="H23" s="27">
        <v>80</v>
      </c>
      <c r="I23" s="28">
        <v>2900</v>
      </c>
      <c r="J23" s="38" t="s">
        <v>1372</v>
      </c>
      <c r="K23" s="39">
        <v>68</v>
      </c>
      <c r="L23" s="197">
        <f>0.73*0.29*0.34</f>
        <v>7.1978E-2</v>
      </c>
      <c r="M23" s="231"/>
      <c r="N23" s="231">
        <v>978.53700000000015</v>
      </c>
      <c r="O23" s="2"/>
    </row>
    <row r="24" spans="1:15" ht="15.75" thickBot="1">
      <c r="A24" s="2"/>
      <c r="B24" s="13" t="s">
        <v>2712</v>
      </c>
      <c r="C24" s="14">
        <v>7.5</v>
      </c>
      <c r="D24" s="15">
        <v>10</v>
      </c>
      <c r="E24" s="14">
        <v>48</v>
      </c>
      <c r="F24" s="28">
        <v>24</v>
      </c>
      <c r="G24" s="136">
        <v>35</v>
      </c>
      <c r="H24" s="27">
        <v>80</v>
      </c>
      <c r="I24" s="28">
        <v>2900</v>
      </c>
      <c r="J24" s="38" t="s">
        <v>1372</v>
      </c>
      <c r="K24" s="39">
        <v>78</v>
      </c>
      <c r="L24" s="197">
        <f>0.73*0.31*0.35</f>
        <v>7.9204999999999998E-2</v>
      </c>
      <c r="M24" s="231"/>
      <c r="N24" s="231">
        <v>1088.8499999999999</v>
      </c>
      <c r="O24" s="2"/>
    </row>
    <row r="25" spans="1:15" ht="15.75" thickBot="1">
      <c r="A25" s="2"/>
      <c r="B25" s="13" t="s">
        <v>2713</v>
      </c>
      <c r="C25" s="14">
        <v>3</v>
      </c>
      <c r="D25" s="15">
        <v>4</v>
      </c>
      <c r="E25" s="14">
        <v>36</v>
      </c>
      <c r="F25" s="28">
        <v>9.8000000000000007</v>
      </c>
      <c r="G25" s="136">
        <v>17.7</v>
      </c>
      <c r="H25" s="27">
        <v>100</v>
      </c>
      <c r="I25" s="28">
        <v>2900</v>
      </c>
      <c r="J25" s="38" t="s">
        <v>1372</v>
      </c>
      <c r="K25" s="39">
        <v>51</v>
      </c>
      <c r="L25" s="197">
        <f>0.63*0.26*0.3</f>
        <v>4.9139999999999996E-2</v>
      </c>
      <c r="M25" s="231"/>
      <c r="N25" s="231">
        <v>758.98200000000008</v>
      </c>
      <c r="O25" s="2"/>
    </row>
    <row r="26" spans="1:15" ht="15.75" thickBot="1">
      <c r="A26" s="2"/>
      <c r="B26" s="13" t="s">
        <v>2714</v>
      </c>
      <c r="C26" s="14">
        <v>4</v>
      </c>
      <c r="D26" s="15">
        <v>5.5</v>
      </c>
      <c r="E26" s="14">
        <v>45</v>
      </c>
      <c r="F26" s="28">
        <v>12.5</v>
      </c>
      <c r="G26" s="136">
        <v>22.5</v>
      </c>
      <c r="H26" s="27">
        <v>100</v>
      </c>
      <c r="I26" s="28">
        <v>2900</v>
      </c>
      <c r="J26" s="38" t="s">
        <v>1372</v>
      </c>
      <c r="K26" s="39">
        <v>58</v>
      </c>
      <c r="L26" s="197">
        <f>0.64*0.29*0.32</f>
        <v>5.9392E-2</v>
      </c>
      <c r="M26" s="231"/>
      <c r="N26" s="231">
        <v>815.745</v>
      </c>
      <c r="O26" s="2"/>
    </row>
    <row r="27" spans="1:15" ht="15.75" thickBot="1">
      <c r="A27" s="2"/>
      <c r="B27" s="13" t="s">
        <v>2715</v>
      </c>
      <c r="C27" s="14">
        <v>5.5</v>
      </c>
      <c r="D27" s="15">
        <v>7.5</v>
      </c>
      <c r="E27" s="14">
        <v>48</v>
      </c>
      <c r="F27" s="28">
        <v>18</v>
      </c>
      <c r="G27" s="136">
        <v>28.3</v>
      </c>
      <c r="H27" s="27">
        <v>100</v>
      </c>
      <c r="I27" s="28">
        <v>2900</v>
      </c>
      <c r="J27" s="38" t="s">
        <v>1372</v>
      </c>
      <c r="K27" s="39">
        <v>69</v>
      </c>
      <c r="L27" s="197">
        <f>0.73*0.29*0.34</f>
        <v>7.1978E-2</v>
      </c>
      <c r="M27" s="231"/>
      <c r="N27" s="231">
        <v>996.03</v>
      </c>
      <c r="O27" s="2"/>
    </row>
    <row r="28" spans="1:15" ht="15.75" thickBot="1">
      <c r="A28" s="2"/>
      <c r="B28" s="13" t="s">
        <v>2716</v>
      </c>
      <c r="C28" s="14">
        <v>7.5</v>
      </c>
      <c r="D28" s="15">
        <v>10</v>
      </c>
      <c r="E28" s="14">
        <v>54</v>
      </c>
      <c r="F28" s="28">
        <v>21</v>
      </c>
      <c r="G28" s="136">
        <v>32.5</v>
      </c>
      <c r="H28" s="27">
        <v>100</v>
      </c>
      <c r="I28" s="28">
        <v>2900</v>
      </c>
      <c r="J28" s="38" t="s">
        <v>1372</v>
      </c>
      <c r="K28" s="39">
        <v>79</v>
      </c>
      <c r="L28" s="197">
        <f>0.73*0.31*0.35</f>
        <v>7.9204999999999998E-2</v>
      </c>
      <c r="M28" s="231"/>
      <c r="N28" s="231">
        <v>1106.7</v>
      </c>
      <c r="O28" s="2"/>
    </row>
    <row r="29" spans="1:15" ht="15.75" thickBot="1">
      <c r="A29" s="2"/>
      <c r="B29" s="13" t="s">
        <v>2717</v>
      </c>
      <c r="C29" s="14">
        <v>5.5</v>
      </c>
      <c r="D29" s="15">
        <v>7.5</v>
      </c>
      <c r="E29" s="14">
        <v>60</v>
      </c>
      <c r="F29" s="28">
        <v>14.2</v>
      </c>
      <c r="G29" s="136">
        <v>27.4</v>
      </c>
      <c r="H29" s="27">
        <v>150</v>
      </c>
      <c r="I29" s="28">
        <v>2900</v>
      </c>
      <c r="J29" s="38" t="s">
        <v>1372</v>
      </c>
      <c r="K29" s="39">
        <v>74</v>
      </c>
      <c r="L29" s="197">
        <f>0.73*0.29*0.34</f>
        <v>7.1978E-2</v>
      </c>
      <c r="M29" s="231"/>
      <c r="N29" s="231">
        <v>1063.8600000000001</v>
      </c>
      <c r="O29" s="2"/>
    </row>
    <row r="30" spans="1:15" ht="15.75" thickBot="1">
      <c r="A30" s="2"/>
      <c r="B30" s="13" t="s">
        <v>2718</v>
      </c>
      <c r="C30" s="14">
        <v>7.5</v>
      </c>
      <c r="D30" s="15">
        <v>10</v>
      </c>
      <c r="E30" s="14">
        <v>60</v>
      </c>
      <c r="F30" s="28">
        <v>19</v>
      </c>
      <c r="G30" s="136">
        <v>32</v>
      </c>
      <c r="H30" s="27">
        <v>150</v>
      </c>
      <c r="I30" s="28">
        <v>2900</v>
      </c>
      <c r="J30" s="38" t="s">
        <v>1372</v>
      </c>
      <c r="K30" s="39">
        <v>84</v>
      </c>
      <c r="L30" s="197">
        <f>0.73*0.31*0.35</f>
        <v>7.9204999999999998E-2</v>
      </c>
      <c r="M30" s="231"/>
      <c r="N30" s="231">
        <v>1178.0999999999999</v>
      </c>
      <c r="O30" s="2"/>
    </row>
    <row r="31" spans="1:15" ht="23.25" thickBot="1">
      <c r="A31" s="7"/>
      <c r="B31" s="63"/>
      <c r="C31" s="63"/>
      <c r="D31" s="63"/>
      <c r="E31" s="63"/>
      <c r="F31" s="63"/>
      <c r="G31" s="63"/>
      <c r="H31" s="63"/>
      <c r="I31" s="1"/>
      <c r="J31" s="63"/>
      <c r="K31" s="1"/>
      <c r="L31" s="1"/>
      <c r="M31" s="63"/>
      <c r="N31" s="63"/>
      <c r="O31" s="1"/>
    </row>
    <row r="32" spans="1:15" ht="15">
      <c r="B32" s="44" t="s">
        <v>1375</v>
      </c>
      <c r="C32" s="45" t="s">
        <v>2983</v>
      </c>
      <c r="D32" s="46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117"/>
    </row>
    <row r="33" spans="1:15" ht="15">
      <c r="B33" s="47" t="s">
        <v>1374</v>
      </c>
      <c r="C33" s="48" t="s">
        <v>1384</v>
      </c>
      <c r="D33" s="49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117"/>
    </row>
    <row r="34" spans="1:15" ht="15">
      <c r="B34" s="47" t="s">
        <v>1385</v>
      </c>
      <c r="C34" s="48" t="s">
        <v>2720</v>
      </c>
      <c r="D34" s="49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117"/>
    </row>
    <row r="35" spans="1:15" ht="15">
      <c r="A35" s="117"/>
      <c r="B35" s="47" t="s">
        <v>2723</v>
      </c>
      <c r="C35" s="48" t="s">
        <v>2721</v>
      </c>
      <c r="D35" s="49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117"/>
    </row>
    <row r="36" spans="1:15" ht="15">
      <c r="A36" s="54"/>
      <c r="B36" s="60" t="s">
        <v>2724</v>
      </c>
      <c r="C36" s="56" t="s">
        <v>2719</v>
      </c>
      <c r="D36" s="57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117"/>
    </row>
    <row r="37" spans="1:15" ht="15"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</row>
  </sheetData>
  <mergeCells count="7">
    <mergeCell ref="C1:N2"/>
    <mergeCell ref="B8:B9"/>
    <mergeCell ref="C8:D9"/>
    <mergeCell ref="E8:G8"/>
    <mergeCell ref="M8:N8"/>
    <mergeCell ref="M9:N9"/>
    <mergeCell ref="B7:N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>
    <tabColor theme="2" tint="-9.9978637043366805E-2"/>
  </sheetPr>
  <dimension ref="A1:P25"/>
  <sheetViews>
    <sheetView zoomScale="94" zoomScaleNormal="94" workbookViewId="0">
      <selection activeCell="Q20" sqref="Q20"/>
    </sheetView>
  </sheetViews>
  <sheetFormatPr defaultRowHeight="14.25"/>
  <cols>
    <col min="1" max="1" width="38.125" customWidth="1"/>
    <col min="2" max="2" width="19.375" customWidth="1"/>
    <col min="8" max="8" width="11.875" customWidth="1"/>
    <col min="10" max="10" width="13.875" customWidth="1"/>
    <col min="13" max="13" width="13.875" customWidth="1"/>
    <col min="14" max="14" width="16.625" customWidth="1"/>
  </cols>
  <sheetData>
    <row r="1" spans="1:16">
      <c r="B1" s="288" t="s">
        <v>2688</v>
      </c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</row>
    <row r="2" spans="1:16" ht="73.5" customHeight="1"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</row>
    <row r="3" spans="1:16" ht="68.25" hidden="1" customHeight="1"/>
    <row r="4" spans="1:16" ht="25.5">
      <c r="A4" s="4"/>
      <c r="B4" s="113" t="s">
        <v>2748</v>
      </c>
      <c r="C4" s="62"/>
      <c r="D4" s="62"/>
      <c r="E4" s="62"/>
      <c r="F4" s="62"/>
      <c r="G4" s="62"/>
      <c r="H4" s="62"/>
      <c r="I4" s="17"/>
      <c r="J4" s="62"/>
      <c r="K4" s="29"/>
      <c r="L4" s="29"/>
      <c r="M4" s="62"/>
      <c r="N4" s="62"/>
    </row>
    <row r="5" spans="1:16" ht="23.25" thickBot="1">
      <c r="A5" s="7"/>
      <c r="B5" s="63"/>
      <c r="C5" s="63"/>
      <c r="D5" s="63"/>
      <c r="E5" s="63"/>
      <c r="F5" s="63"/>
      <c r="G5" s="63"/>
      <c r="H5" s="63"/>
      <c r="I5" s="1"/>
      <c r="J5" s="63"/>
      <c r="K5" s="1"/>
      <c r="L5" s="1"/>
      <c r="M5" s="63"/>
      <c r="N5" s="63"/>
    </row>
    <row r="6" spans="1:16" ht="48" customHeight="1">
      <c r="A6" s="3"/>
      <c r="B6" s="253" t="s">
        <v>2680</v>
      </c>
      <c r="C6" s="255" t="s">
        <v>2667</v>
      </c>
      <c r="D6" s="253"/>
      <c r="E6" s="257" t="s">
        <v>2730</v>
      </c>
      <c r="F6" s="258"/>
      <c r="G6" s="258"/>
      <c r="H6" s="18" t="s">
        <v>2738</v>
      </c>
      <c r="I6" s="19" t="s">
        <v>4</v>
      </c>
      <c r="J6" s="30" t="s">
        <v>2729</v>
      </c>
      <c r="K6" s="31" t="s">
        <v>2675</v>
      </c>
      <c r="L6" s="31" t="s">
        <v>2677</v>
      </c>
      <c r="M6" s="259" t="s">
        <v>2731</v>
      </c>
      <c r="N6" s="255"/>
    </row>
    <row r="7" spans="1:16" ht="39.75" hidden="1" customHeight="1">
      <c r="A7" s="9"/>
      <c r="B7" s="254"/>
      <c r="C7" s="256"/>
      <c r="D7" s="254"/>
      <c r="E7" s="20" t="s">
        <v>2736</v>
      </c>
      <c r="F7" s="33" t="s">
        <v>2735</v>
      </c>
      <c r="G7" s="10" t="s">
        <v>2737</v>
      </c>
      <c r="H7" s="21"/>
      <c r="I7" s="22"/>
      <c r="J7" s="32"/>
      <c r="K7" s="33"/>
      <c r="L7" s="33"/>
      <c r="M7" s="260" t="s">
        <v>2732</v>
      </c>
      <c r="N7" s="261"/>
    </row>
    <row r="8" spans="1:16" ht="24.75" customHeight="1" thickBot="1">
      <c r="A8" s="3"/>
      <c r="B8" s="11"/>
      <c r="C8" s="12" t="s">
        <v>2668</v>
      </c>
      <c r="D8" s="11" t="s">
        <v>2725</v>
      </c>
      <c r="E8" s="23" t="s">
        <v>2726</v>
      </c>
      <c r="F8" s="133" t="s">
        <v>2727</v>
      </c>
      <c r="G8" s="134" t="s">
        <v>2727</v>
      </c>
      <c r="H8" s="25" t="s">
        <v>2728</v>
      </c>
      <c r="I8" s="26" t="s">
        <v>2673</v>
      </c>
      <c r="J8" s="34"/>
      <c r="K8" s="35" t="s">
        <v>2676</v>
      </c>
      <c r="L8" s="196" t="s">
        <v>2678</v>
      </c>
      <c r="M8" s="37" t="s">
        <v>2733</v>
      </c>
      <c r="N8" s="43" t="s">
        <v>2734</v>
      </c>
    </row>
    <row r="9" spans="1:16" ht="15.75" thickBot="1">
      <c r="A9" s="2"/>
      <c r="B9" s="13" t="s">
        <v>2740</v>
      </c>
      <c r="C9" s="14">
        <v>0.9</v>
      </c>
      <c r="D9" s="15">
        <v>1.2</v>
      </c>
      <c r="E9" s="14">
        <v>7</v>
      </c>
      <c r="F9" s="28">
        <v>12</v>
      </c>
      <c r="G9" s="136">
        <v>15</v>
      </c>
      <c r="H9" s="27">
        <v>40</v>
      </c>
      <c r="I9" s="28">
        <v>2900</v>
      </c>
      <c r="J9" s="38" t="s">
        <v>1856</v>
      </c>
      <c r="K9" s="39">
        <v>30</v>
      </c>
      <c r="L9" s="40">
        <f>0.28*0.51*0.32</f>
        <v>4.5696000000000007E-2</v>
      </c>
      <c r="M9" s="73">
        <v>1204.9974000000002</v>
      </c>
      <c r="N9" s="73">
        <v>1204.9974000000002</v>
      </c>
      <c r="O9" s="203"/>
      <c r="P9" s="204"/>
    </row>
    <row r="10" spans="1:16" ht="15.75" thickBot="1">
      <c r="A10" s="2"/>
      <c r="B10" s="13" t="s">
        <v>2741</v>
      </c>
      <c r="C10" s="14">
        <v>1.2</v>
      </c>
      <c r="D10" s="15">
        <v>1.6</v>
      </c>
      <c r="E10" s="14">
        <v>7</v>
      </c>
      <c r="F10" s="28">
        <v>17</v>
      </c>
      <c r="G10" s="136">
        <v>22</v>
      </c>
      <c r="H10" s="27">
        <v>40</v>
      </c>
      <c r="I10" s="28">
        <v>2900</v>
      </c>
      <c r="J10" s="38" t="s">
        <v>1856</v>
      </c>
      <c r="K10" s="39">
        <v>35</v>
      </c>
      <c r="L10" s="40">
        <f>0.28*0.51*0.32</f>
        <v>4.5696000000000007E-2</v>
      </c>
      <c r="M10" s="73">
        <v>1335.0657600000002</v>
      </c>
      <c r="N10" s="73">
        <v>1335.0657600000002</v>
      </c>
      <c r="O10" s="203"/>
      <c r="P10" s="204"/>
    </row>
    <row r="11" spans="1:16" ht="15.75" thickBot="1">
      <c r="A11" s="2"/>
      <c r="B11" s="13" t="s">
        <v>2742</v>
      </c>
      <c r="C11" s="14">
        <v>1.5</v>
      </c>
      <c r="D11" s="15">
        <v>2</v>
      </c>
      <c r="E11" s="14">
        <v>7</v>
      </c>
      <c r="F11" s="28">
        <v>21</v>
      </c>
      <c r="G11" s="136">
        <v>26</v>
      </c>
      <c r="H11" s="27">
        <v>40</v>
      </c>
      <c r="I11" s="28">
        <v>2900</v>
      </c>
      <c r="J11" s="38" t="s">
        <v>1856</v>
      </c>
      <c r="K11" s="39">
        <v>40</v>
      </c>
      <c r="L11" s="40">
        <f>0.28*0.51*0.32</f>
        <v>4.5696000000000007E-2</v>
      </c>
      <c r="M11" s="73"/>
      <c r="N11" s="73">
        <v>1439.18532</v>
      </c>
      <c r="O11" s="203"/>
      <c r="P11" s="204"/>
    </row>
    <row r="12" spans="1:16" ht="15.75" thickBot="1">
      <c r="A12" s="2"/>
      <c r="B12" s="13" t="s">
        <v>2743</v>
      </c>
      <c r="C12" s="14">
        <v>2.6</v>
      </c>
      <c r="D12" s="15">
        <v>3.5</v>
      </c>
      <c r="E12" s="14">
        <v>7</v>
      </c>
      <c r="F12" s="28">
        <v>28</v>
      </c>
      <c r="G12" s="136">
        <v>32</v>
      </c>
      <c r="H12" s="27">
        <v>40</v>
      </c>
      <c r="I12" s="28">
        <v>2900</v>
      </c>
      <c r="J12" s="38" t="s">
        <v>1856</v>
      </c>
      <c r="K12" s="39">
        <v>56</v>
      </c>
      <c r="L12" s="40">
        <f>0.33*0.6*0.37</f>
        <v>7.3260000000000006E-2</v>
      </c>
      <c r="M12" s="73"/>
      <c r="N12" s="73">
        <v>1751.8683600000004</v>
      </c>
      <c r="O12" s="203"/>
      <c r="P12" s="204"/>
    </row>
    <row r="13" spans="1:16" ht="15.75" thickBot="1">
      <c r="A13" s="2"/>
      <c r="B13" s="13" t="s">
        <v>2744</v>
      </c>
      <c r="C13" s="14">
        <v>3.1</v>
      </c>
      <c r="D13" s="15">
        <v>4.2</v>
      </c>
      <c r="E13" s="14">
        <v>8</v>
      </c>
      <c r="F13" s="28">
        <v>32</v>
      </c>
      <c r="G13" s="136">
        <v>39</v>
      </c>
      <c r="H13" s="27">
        <v>40</v>
      </c>
      <c r="I13" s="28">
        <v>2900</v>
      </c>
      <c r="J13" s="38" t="s">
        <v>1856</v>
      </c>
      <c r="K13" s="39">
        <v>64</v>
      </c>
      <c r="L13" s="40">
        <f>0.33*0.6*0.37</f>
        <v>7.3260000000000006E-2</v>
      </c>
      <c r="M13" s="73"/>
      <c r="N13" s="73">
        <v>1986.3806400000001</v>
      </c>
      <c r="O13" s="203"/>
      <c r="P13" s="204"/>
    </row>
    <row r="14" spans="1:16" ht="15.75" thickBot="1">
      <c r="A14" s="2"/>
      <c r="B14" s="13" t="s">
        <v>2745</v>
      </c>
      <c r="C14" s="14">
        <v>4</v>
      </c>
      <c r="D14" s="15">
        <v>5.5</v>
      </c>
      <c r="E14" s="14">
        <v>10</v>
      </c>
      <c r="F14" s="28">
        <v>38</v>
      </c>
      <c r="G14" s="136">
        <v>44.5</v>
      </c>
      <c r="H14" s="27">
        <v>40</v>
      </c>
      <c r="I14" s="28">
        <v>2900</v>
      </c>
      <c r="J14" s="38" t="s">
        <v>1856</v>
      </c>
      <c r="K14" s="39">
        <v>73</v>
      </c>
      <c r="L14" s="40">
        <f>0.33*0.6*0.37</f>
        <v>7.3260000000000006E-2</v>
      </c>
      <c r="M14" s="73"/>
      <c r="N14" s="73">
        <v>2227.3801200000003</v>
      </c>
      <c r="O14" s="203"/>
      <c r="P14" s="204"/>
    </row>
    <row r="15" spans="1:16" ht="23.25" thickBot="1">
      <c r="A15" s="7"/>
      <c r="B15" s="63"/>
      <c r="C15" s="63"/>
      <c r="D15" s="63"/>
      <c r="E15" s="63"/>
      <c r="F15" s="63"/>
      <c r="G15" s="63"/>
      <c r="H15" s="63"/>
      <c r="I15" s="1"/>
      <c r="J15" s="63"/>
      <c r="K15" s="1"/>
      <c r="L15" s="1"/>
      <c r="M15" s="63"/>
      <c r="N15" s="63"/>
    </row>
    <row r="16" spans="1:16" ht="15.75" thickBot="1">
      <c r="B16" s="199" t="s">
        <v>1375</v>
      </c>
      <c r="C16" s="200" t="s">
        <v>2983</v>
      </c>
      <c r="D16" s="201"/>
      <c r="E16" s="202"/>
      <c r="F16" s="202"/>
      <c r="G16" s="202"/>
      <c r="H16" s="202"/>
      <c r="I16" s="202"/>
      <c r="J16" s="202"/>
      <c r="K16" s="202"/>
      <c r="L16" s="202"/>
      <c r="M16" s="202"/>
      <c r="N16" s="202"/>
    </row>
    <row r="17" spans="1:14" ht="15.75" thickBot="1">
      <c r="B17" s="199" t="s">
        <v>1374</v>
      </c>
      <c r="C17" s="200" t="s">
        <v>2747</v>
      </c>
      <c r="D17" s="201"/>
      <c r="E17" s="202"/>
      <c r="F17" s="202"/>
      <c r="G17" s="202"/>
      <c r="H17" s="202"/>
      <c r="I17" s="202"/>
      <c r="J17" s="202"/>
      <c r="K17" s="202"/>
      <c r="L17" s="202"/>
      <c r="M17" s="202"/>
      <c r="N17" s="202"/>
    </row>
    <row r="18" spans="1:14" ht="15.75" thickBot="1">
      <c r="B18" s="199" t="s">
        <v>1385</v>
      </c>
      <c r="C18" s="200" t="s">
        <v>2720</v>
      </c>
      <c r="D18" s="201"/>
      <c r="E18" s="202"/>
      <c r="F18" s="202"/>
      <c r="G18" s="202"/>
      <c r="H18" s="202"/>
      <c r="I18" s="202"/>
      <c r="J18" s="202"/>
      <c r="K18" s="202"/>
      <c r="L18" s="202"/>
      <c r="M18" s="202"/>
      <c r="N18" s="202"/>
    </row>
    <row r="19" spans="1:14" ht="15.75" thickBot="1">
      <c r="A19" s="117"/>
      <c r="B19" s="199" t="s">
        <v>2723</v>
      </c>
      <c r="C19" s="200" t="s">
        <v>2721</v>
      </c>
      <c r="D19" s="201"/>
      <c r="E19" s="202"/>
      <c r="F19" s="202"/>
      <c r="G19" s="202"/>
      <c r="H19" s="202"/>
      <c r="I19" s="202"/>
      <c r="J19" s="202"/>
      <c r="K19" s="202"/>
      <c r="L19" s="202"/>
      <c r="M19" s="202"/>
      <c r="N19" s="202"/>
    </row>
    <row r="20" spans="1:14" ht="15.75" thickBot="1">
      <c r="B20" s="199" t="s">
        <v>1393</v>
      </c>
      <c r="C20" s="200" t="s">
        <v>2746</v>
      </c>
      <c r="D20" s="201"/>
      <c r="E20" s="202"/>
      <c r="F20" s="202"/>
      <c r="G20" s="202"/>
      <c r="H20" s="202"/>
      <c r="I20" s="202"/>
      <c r="J20" s="202"/>
      <c r="K20" s="202"/>
      <c r="L20" s="202"/>
      <c r="M20" s="202"/>
      <c r="N20" s="202"/>
    </row>
    <row r="21" spans="1:14" ht="15">
      <c r="B21" s="74"/>
      <c r="C21" s="75"/>
      <c r="D21" s="75"/>
      <c r="E21" s="76"/>
      <c r="F21" s="76"/>
      <c r="G21" s="76"/>
    </row>
    <row r="22" spans="1:14" ht="15">
      <c r="B22" s="74"/>
      <c r="C22" s="75"/>
      <c r="D22" s="75"/>
      <c r="E22" s="76"/>
      <c r="F22" s="76"/>
      <c r="G22" s="76"/>
    </row>
    <row r="23" spans="1:14" ht="15">
      <c r="B23" s="74"/>
      <c r="C23" s="75"/>
      <c r="D23" s="75"/>
      <c r="E23" s="76"/>
      <c r="F23" s="76"/>
      <c r="G23" s="76"/>
    </row>
    <row r="24" spans="1:14" ht="15">
      <c r="B24" s="74"/>
      <c r="C24" s="75"/>
      <c r="D24" s="75"/>
      <c r="E24" s="76"/>
      <c r="F24" s="76"/>
      <c r="G24" s="76"/>
    </row>
    <row r="25" spans="1:14">
      <c r="B25" s="198"/>
      <c r="C25" s="198"/>
      <c r="D25" s="198"/>
      <c r="E25" s="198"/>
      <c r="F25" s="198"/>
      <c r="G25" s="198"/>
    </row>
  </sheetData>
  <mergeCells count="6">
    <mergeCell ref="B1:M2"/>
    <mergeCell ref="B6:B7"/>
    <mergeCell ref="C6:D7"/>
    <mergeCell ref="E6:G6"/>
    <mergeCell ref="M6:N6"/>
    <mergeCell ref="M7:N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1">
    <tabColor rgb="FFFFC000"/>
  </sheetPr>
  <dimension ref="D2:P107"/>
  <sheetViews>
    <sheetView workbookViewId="0"/>
  </sheetViews>
  <sheetFormatPr defaultRowHeight="14.25"/>
  <cols>
    <col min="3" max="3" width="14.25" customWidth="1"/>
    <col min="4" max="4" width="0.25" customWidth="1"/>
    <col min="5" max="5" width="31.375" customWidth="1"/>
    <col min="14" max="14" width="24.5" customWidth="1"/>
    <col min="16" max="16" width="15.75" customWidth="1"/>
  </cols>
  <sheetData>
    <row r="2" spans="4:16" ht="0.75" customHeight="1"/>
    <row r="3" spans="4:16" hidden="1"/>
    <row r="4" spans="4:16" hidden="1"/>
    <row r="5" spans="4:16" hidden="1"/>
    <row r="6" spans="4:16" ht="36.75" hidden="1">
      <c r="D6" s="121"/>
      <c r="E6" s="122"/>
      <c r="F6" s="123"/>
      <c r="G6" s="124"/>
      <c r="H6" s="125"/>
      <c r="I6" s="126"/>
      <c r="J6" s="126"/>
      <c r="K6" s="126"/>
      <c r="L6" s="126"/>
      <c r="M6" s="126"/>
      <c r="N6" s="127"/>
    </row>
    <row r="7" spans="4:16" ht="20.25" hidden="1">
      <c r="D7" s="121"/>
      <c r="E7" s="122"/>
      <c r="F7" s="123"/>
      <c r="G7" s="128"/>
      <c r="H7" s="128"/>
      <c r="I7" s="128"/>
      <c r="J7" s="128"/>
      <c r="K7" s="128"/>
      <c r="L7" s="128"/>
      <c r="M7" s="128"/>
      <c r="N7" s="129"/>
    </row>
    <row r="8" spans="4:16" ht="20.25" hidden="1">
      <c r="D8" s="121"/>
      <c r="E8" s="122"/>
      <c r="F8" s="123"/>
      <c r="G8" s="128"/>
      <c r="H8" s="128"/>
      <c r="I8" s="130"/>
      <c r="J8" s="130"/>
      <c r="K8" s="130"/>
      <c r="L8" s="130"/>
      <c r="M8" s="130"/>
      <c r="N8" s="131"/>
    </row>
    <row r="9" spans="4:16" ht="20.25" hidden="1">
      <c r="D9" s="121"/>
      <c r="E9" s="122"/>
      <c r="F9" s="123"/>
      <c r="G9" s="128"/>
      <c r="H9" s="128"/>
      <c r="I9" s="130"/>
      <c r="J9" s="130"/>
      <c r="K9" s="130"/>
      <c r="L9" s="130"/>
      <c r="M9" s="130"/>
      <c r="N9" s="131"/>
    </row>
    <row r="10" spans="4:16" ht="15">
      <c r="D10" s="117"/>
      <c r="E10" s="132"/>
      <c r="F10" s="132"/>
      <c r="G10" s="132"/>
      <c r="H10" s="132"/>
      <c r="I10" s="132"/>
      <c r="J10" s="132"/>
      <c r="K10" s="132"/>
      <c r="L10" s="132"/>
      <c r="M10" s="132"/>
      <c r="N10" s="132"/>
    </row>
    <row r="11" spans="4:16" ht="25.5">
      <c r="D11" s="4"/>
      <c r="E11" s="113" t="s">
        <v>1519</v>
      </c>
      <c r="F11" s="62"/>
      <c r="G11" s="62"/>
      <c r="H11" s="62"/>
      <c r="I11" s="62"/>
      <c r="J11" s="62"/>
      <c r="K11" s="62"/>
      <c r="L11" s="17"/>
      <c r="M11" s="62"/>
      <c r="N11" s="62"/>
    </row>
    <row r="12" spans="4:16" ht="23.25" thickBot="1">
      <c r="D12" s="7"/>
      <c r="E12" s="63"/>
      <c r="F12" s="63"/>
      <c r="G12" s="63"/>
      <c r="H12" s="63"/>
      <c r="I12" s="63"/>
      <c r="J12" s="63"/>
      <c r="K12" s="63"/>
      <c r="L12" s="1"/>
      <c r="M12" s="63"/>
      <c r="N12" s="63"/>
    </row>
    <row r="13" spans="4:16" ht="15">
      <c r="D13" s="3"/>
      <c r="E13" s="253" t="s">
        <v>0</v>
      </c>
      <c r="F13" s="255" t="s">
        <v>1</v>
      </c>
      <c r="G13" s="253"/>
      <c r="H13" s="257" t="s">
        <v>2</v>
      </c>
      <c r="I13" s="258"/>
      <c r="J13" s="258"/>
      <c r="K13" s="18" t="s">
        <v>3</v>
      </c>
      <c r="L13" s="19" t="s">
        <v>4</v>
      </c>
      <c r="M13" s="30" t="s">
        <v>5</v>
      </c>
      <c r="N13" s="120"/>
    </row>
    <row r="14" spans="4:16" ht="15">
      <c r="D14" s="9"/>
      <c r="E14" s="254"/>
      <c r="F14" s="256"/>
      <c r="G14" s="254"/>
      <c r="H14" s="20" t="s">
        <v>9</v>
      </c>
      <c r="I14" s="33" t="s">
        <v>10</v>
      </c>
      <c r="J14" s="10" t="s">
        <v>854</v>
      </c>
      <c r="K14" s="21"/>
      <c r="L14" s="22"/>
      <c r="M14" s="32"/>
      <c r="N14" s="138"/>
    </row>
    <row r="15" spans="4:16" ht="15.75" thickBot="1">
      <c r="D15" s="3"/>
      <c r="E15" s="11"/>
      <c r="F15" s="12" t="s">
        <v>12</v>
      </c>
      <c r="G15" s="11" t="s">
        <v>13</v>
      </c>
      <c r="H15" s="23" t="s">
        <v>14</v>
      </c>
      <c r="I15" s="133" t="s">
        <v>15</v>
      </c>
      <c r="J15" s="134" t="s">
        <v>15</v>
      </c>
      <c r="K15" s="25" t="s">
        <v>16</v>
      </c>
      <c r="L15" s="26" t="s">
        <v>17</v>
      </c>
      <c r="M15" s="34"/>
      <c r="N15" s="139" t="s">
        <v>1427</v>
      </c>
    </row>
    <row r="16" spans="4:16" ht="15.75" thickBot="1">
      <c r="D16" s="2"/>
      <c r="E16" s="135" t="s">
        <v>1428</v>
      </c>
      <c r="F16" s="14">
        <v>11</v>
      </c>
      <c r="G16" s="15">
        <v>15</v>
      </c>
      <c r="H16" s="14">
        <v>60</v>
      </c>
      <c r="I16" s="28">
        <v>30</v>
      </c>
      <c r="J16" s="136">
        <v>42</v>
      </c>
      <c r="K16" s="27">
        <v>80</v>
      </c>
      <c r="L16" s="28">
        <v>2900</v>
      </c>
      <c r="M16" s="38" t="s">
        <v>1429</v>
      </c>
      <c r="N16" s="73">
        <v>3505.0259999999998</v>
      </c>
      <c r="P16" s="137"/>
    </row>
    <row r="17" spans="4:16" ht="15.75" thickBot="1">
      <c r="D17" s="2"/>
      <c r="E17" s="135" t="s">
        <v>1430</v>
      </c>
      <c r="F17" s="14">
        <v>11</v>
      </c>
      <c r="G17" s="15">
        <v>15</v>
      </c>
      <c r="H17" s="14">
        <v>80</v>
      </c>
      <c r="I17" s="28">
        <v>25</v>
      </c>
      <c r="J17" s="136">
        <v>42</v>
      </c>
      <c r="K17" s="27">
        <v>100</v>
      </c>
      <c r="L17" s="28">
        <v>2900</v>
      </c>
      <c r="M17" s="38" t="s">
        <v>1429</v>
      </c>
      <c r="N17" s="73">
        <v>3505.0259999999998</v>
      </c>
      <c r="P17" s="137"/>
    </row>
    <row r="18" spans="4:16" ht="15.75" thickBot="1">
      <c r="D18" s="2"/>
      <c r="E18" s="135" t="s">
        <v>1431</v>
      </c>
      <c r="F18" s="14">
        <v>11</v>
      </c>
      <c r="G18" s="15">
        <v>15</v>
      </c>
      <c r="H18" s="14">
        <v>100</v>
      </c>
      <c r="I18" s="28">
        <v>20</v>
      </c>
      <c r="J18" s="136">
        <v>32.5</v>
      </c>
      <c r="K18" s="27">
        <v>150</v>
      </c>
      <c r="L18" s="28">
        <v>2900</v>
      </c>
      <c r="M18" s="38" t="s">
        <v>1429</v>
      </c>
      <c r="N18" s="73">
        <v>3654.252</v>
      </c>
      <c r="P18" s="137"/>
    </row>
    <row r="19" spans="4:16" ht="15.75" thickBot="1">
      <c r="D19" s="2"/>
      <c r="E19" s="135" t="s">
        <v>1432</v>
      </c>
      <c r="F19" s="14">
        <v>11</v>
      </c>
      <c r="G19" s="15">
        <v>15</v>
      </c>
      <c r="H19" s="14">
        <v>120</v>
      </c>
      <c r="I19" s="28">
        <v>15</v>
      </c>
      <c r="J19" s="136">
        <v>32.5</v>
      </c>
      <c r="K19" s="27">
        <v>150</v>
      </c>
      <c r="L19" s="28">
        <v>2900</v>
      </c>
      <c r="M19" s="38" t="s">
        <v>1429</v>
      </c>
      <c r="N19" s="73">
        <v>3654.252</v>
      </c>
      <c r="P19" s="137"/>
    </row>
    <row r="20" spans="4:16" ht="15.75" thickBot="1">
      <c r="D20" s="2"/>
      <c r="E20" s="135" t="s">
        <v>1433</v>
      </c>
      <c r="F20" s="14">
        <v>11</v>
      </c>
      <c r="G20" s="15">
        <v>15</v>
      </c>
      <c r="H20" s="14">
        <v>180</v>
      </c>
      <c r="I20" s="28">
        <v>10</v>
      </c>
      <c r="J20" s="136">
        <v>32</v>
      </c>
      <c r="K20" s="27">
        <v>200</v>
      </c>
      <c r="L20" s="28">
        <v>2900</v>
      </c>
      <c r="M20" s="38" t="s">
        <v>1429</v>
      </c>
      <c r="N20" s="73">
        <v>3729.2219999999993</v>
      </c>
      <c r="P20" s="137"/>
    </row>
    <row r="21" spans="4:16" ht="15.75" thickBot="1">
      <c r="D21" s="2"/>
      <c r="E21" s="135" t="s">
        <v>1434</v>
      </c>
      <c r="F21" s="14">
        <v>15</v>
      </c>
      <c r="G21" s="15">
        <v>20</v>
      </c>
      <c r="H21" s="14">
        <v>60</v>
      </c>
      <c r="I21" s="28">
        <v>40</v>
      </c>
      <c r="J21" s="136">
        <v>50</v>
      </c>
      <c r="K21" s="27">
        <v>80</v>
      </c>
      <c r="L21" s="28">
        <v>2900</v>
      </c>
      <c r="M21" s="38" t="s">
        <v>1429</v>
      </c>
      <c r="N21" s="73">
        <v>3654.252</v>
      </c>
      <c r="P21" s="137"/>
    </row>
    <row r="22" spans="4:16" ht="15.75" thickBot="1">
      <c r="D22" s="2"/>
      <c r="E22" s="135" t="s">
        <v>1435</v>
      </c>
      <c r="F22" s="14">
        <v>15</v>
      </c>
      <c r="G22" s="15">
        <v>20</v>
      </c>
      <c r="H22" s="14">
        <v>80</v>
      </c>
      <c r="I22" s="28">
        <v>32</v>
      </c>
      <c r="J22" s="136">
        <v>46</v>
      </c>
      <c r="K22" s="27">
        <v>100</v>
      </c>
      <c r="L22" s="28">
        <v>2900</v>
      </c>
      <c r="M22" s="38" t="s">
        <v>1429</v>
      </c>
      <c r="N22" s="73">
        <v>3654.252</v>
      </c>
      <c r="P22" s="137"/>
    </row>
    <row r="23" spans="4:16" ht="15.75" thickBot="1">
      <c r="D23" s="2"/>
      <c r="E23" s="135" t="s">
        <v>1436</v>
      </c>
      <c r="F23" s="14">
        <v>15</v>
      </c>
      <c r="G23" s="15">
        <v>20</v>
      </c>
      <c r="H23" s="14">
        <v>100</v>
      </c>
      <c r="I23" s="28">
        <v>27</v>
      </c>
      <c r="J23" s="136">
        <v>39</v>
      </c>
      <c r="K23" s="27">
        <v>150</v>
      </c>
      <c r="L23" s="28">
        <v>2900</v>
      </c>
      <c r="M23" s="38" t="s">
        <v>1429</v>
      </c>
      <c r="N23" s="73">
        <v>3803.835</v>
      </c>
      <c r="P23" s="137"/>
    </row>
    <row r="24" spans="4:16" ht="15.75" thickBot="1">
      <c r="D24" s="2"/>
      <c r="E24" s="135" t="s">
        <v>1437</v>
      </c>
      <c r="F24" s="14">
        <v>15</v>
      </c>
      <c r="G24" s="15">
        <v>20</v>
      </c>
      <c r="H24" s="14">
        <v>120</v>
      </c>
      <c r="I24" s="28">
        <v>25</v>
      </c>
      <c r="J24" s="136">
        <v>39</v>
      </c>
      <c r="K24" s="27">
        <v>150</v>
      </c>
      <c r="L24" s="28">
        <v>2900</v>
      </c>
      <c r="M24" s="38" t="s">
        <v>1429</v>
      </c>
      <c r="N24" s="73">
        <v>3803.835</v>
      </c>
      <c r="P24" s="137"/>
    </row>
    <row r="25" spans="4:16" ht="15.75" thickBot="1">
      <c r="D25" s="2"/>
      <c r="E25" s="135" t="s">
        <v>1438</v>
      </c>
      <c r="F25" s="14">
        <v>15</v>
      </c>
      <c r="G25" s="15">
        <v>20</v>
      </c>
      <c r="H25" s="14">
        <v>180</v>
      </c>
      <c r="I25" s="28">
        <v>15</v>
      </c>
      <c r="J25" s="136">
        <v>37</v>
      </c>
      <c r="K25" s="27">
        <v>200</v>
      </c>
      <c r="L25" s="28">
        <v>2900</v>
      </c>
      <c r="M25" s="38" t="s">
        <v>1429</v>
      </c>
      <c r="N25" s="73">
        <v>3878.4480000000008</v>
      </c>
      <c r="P25" s="137"/>
    </row>
    <row r="26" spans="4:16" ht="15.75" thickBot="1">
      <c r="D26" s="2"/>
      <c r="E26" s="135" t="s">
        <v>1439</v>
      </c>
      <c r="F26" s="14">
        <v>18.5</v>
      </c>
      <c r="G26" s="15">
        <v>25</v>
      </c>
      <c r="H26" s="14">
        <v>60</v>
      </c>
      <c r="I26" s="28">
        <v>41</v>
      </c>
      <c r="J26" s="136">
        <v>54</v>
      </c>
      <c r="K26" s="27">
        <v>80</v>
      </c>
      <c r="L26" s="28">
        <v>2900</v>
      </c>
      <c r="M26" s="38" t="s">
        <v>1429</v>
      </c>
      <c r="N26" s="73">
        <v>4250.799</v>
      </c>
      <c r="P26" s="137"/>
    </row>
    <row r="27" spans="4:16" ht="15.75" thickBot="1">
      <c r="D27" s="2"/>
      <c r="E27" s="135" t="s">
        <v>1440</v>
      </c>
      <c r="F27" s="14">
        <v>18.5</v>
      </c>
      <c r="G27" s="15">
        <v>25</v>
      </c>
      <c r="H27" s="14">
        <v>80</v>
      </c>
      <c r="I27" s="28">
        <v>38</v>
      </c>
      <c r="J27" s="136">
        <v>50</v>
      </c>
      <c r="K27" s="27">
        <v>100</v>
      </c>
      <c r="L27" s="28">
        <v>2900</v>
      </c>
      <c r="M27" s="38" t="s">
        <v>1429</v>
      </c>
      <c r="N27" s="73">
        <v>4250.799</v>
      </c>
      <c r="P27" s="137"/>
    </row>
    <row r="28" spans="4:16" ht="15.75" thickBot="1">
      <c r="D28" s="2"/>
      <c r="E28" s="135" t="s">
        <v>1441</v>
      </c>
      <c r="F28" s="14">
        <v>18.5</v>
      </c>
      <c r="G28" s="15">
        <v>25</v>
      </c>
      <c r="H28" s="14">
        <v>100</v>
      </c>
      <c r="I28" s="28">
        <v>35</v>
      </c>
      <c r="J28" s="136">
        <v>47</v>
      </c>
      <c r="K28" s="27">
        <v>150</v>
      </c>
      <c r="L28" s="28">
        <v>2900</v>
      </c>
      <c r="M28" s="38" t="s">
        <v>1429</v>
      </c>
      <c r="N28" s="73">
        <v>4325.4119999999994</v>
      </c>
      <c r="P28" s="137"/>
    </row>
    <row r="29" spans="4:16" ht="15.75" thickBot="1">
      <c r="D29" s="16"/>
      <c r="E29" s="135" t="s">
        <v>1442</v>
      </c>
      <c r="F29" s="14">
        <v>18.5</v>
      </c>
      <c r="G29" s="15">
        <v>25</v>
      </c>
      <c r="H29" s="14">
        <v>180</v>
      </c>
      <c r="I29" s="28">
        <v>18</v>
      </c>
      <c r="J29" s="136">
        <v>39</v>
      </c>
      <c r="K29" s="27">
        <v>200</v>
      </c>
      <c r="L29" s="28">
        <v>2900</v>
      </c>
      <c r="M29" s="38" t="s">
        <v>1429</v>
      </c>
      <c r="N29" s="73">
        <v>4400.3819999999996</v>
      </c>
      <c r="P29" s="137"/>
    </row>
    <row r="30" spans="4:16" ht="15.75" thickBot="1">
      <c r="D30" s="2"/>
      <c r="E30" s="135" t="s">
        <v>1443</v>
      </c>
      <c r="F30" s="14">
        <v>22</v>
      </c>
      <c r="G30" s="15">
        <v>30</v>
      </c>
      <c r="H30" s="14">
        <v>60</v>
      </c>
      <c r="I30" s="28">
        <v>45</v>
      </c>
      <c r="J30" s="136">
        <v>55</v>
      </c>
      <c r="K30" s="27">
        <v>80</v>
      </c>
      <c r="L30" s="28">
        <v>2900</v>
      </c>
      <c r="M30" s="38" t="s">
        <v>1429</v>
      </c>
      <c r="N30" s="73">
        <v>4400.3819999999996</v>
      </c>
      <c r="P30" s="137"/>
    </row>
    <row r="31" spans="4:16" ht="15.75" thickBot="1">
      <c r="D31" s="2"/>
      <c r="E31" s="135" t="s">
        <v>1444</v>
      </c>
      <c r="F31" s="14">
        <v>22</v>
      </c>
      <c r="G31" s="15">
        <v>30</v>
      </c>
      <c r="H31" s="14">
        <v>80</v>
      </c>
      <c r="I31" s="28">
        <v>45</v>
      </c>
      <c r="J31" s="136">
        <v>58</v>
      </c>
      <c r="K31" s="27">
        <v>100</v>
      </c>
      <c r="L31" s="28">
        <v>2900</v>
      </c>
      <c r="M31" s="38" t="s">
        <v>1429</v>
      </c>
      <c r="N31" s="73">
        <v>4400.3819999999996</v>
      </c>
      <c r="P31" s="137"/>
    </row>
    <row r="32" spans="4:16" ht="15.75" thickBot="1">
      <c r="D32" s="2"/>
      <c r="E32" s="135" t="s">
        <v>1445</v>
      </c>
      <c r="F32" s="14">
        <v>22</v>
      </c>
      <c r="G32" s="15">
        <v>30</v>
      </c>
      <c r="H32" s="14">
        <v>150</v>
      </c>
      <c r="I32" s="28">
        <v>26</v>
      </c>
      <c r="J32" s="136">
        <v>49</v>
      </c>
      <c r="K32" s="27">
        <v>150</v>
      </c>
      <c r="L32" s="28">
        <v>2900</v>
      </c>
      <c r="M32" s="38" t="s">
        <v>1429</v>
      </c>
      <c r="N32" s="73">
        <v>4474.9949999999999</v>
      </c>
      <c r="P32" s="137"/>
    </row>
    <row r="33" spans="4:16" ht="15.75" thickBot="1">
      <c r="D33" s="2"/>
      <c r="E33" s="135" t="s">
        <v>1446</v>
      </c>
      <c r="F33" s="14">
        <v>22</v>
      </c>
      <c r="G33" s="15">
        <v>30</v>
      </c>
      <c r="H33" s="14">
        <v>200</v>
      </c>
      <c r="I33" s="28">
        <v>20</v>
      </c>
      <c r="J33" s="136">
        <v>49</v>
      </c>
      <c r="K33" s="27">
        <v>200</v>
      </c>
      <c r="L33" s="28">
        <v>2900</v>
      </c>
      <c r="M33" s="38" t="s">
        <v>1429</v>
      </c>
      <c r="N33" s="73">
        <v>4623.8639999999996</v>
      </c>
      <c r="P33" s="137"/>
    </row>
    <row r="34" spans="4:16" ht="15.75" thickBot="1">
      <c r="D34" s="2"/>
      <c r="E34" s="135" t="s">
        <v>1447</v>
      </c>
      <c r="F34" s="14">
        <v>5.5</v>
      </c>
      <c r="G34" s="15">
        <v>7.5</v>
      </c>
      <c r="H34" s="14">
        <v>80</v>
      </c>
      <c r="I34" s="28">
        <v>11</v>
      </c>
      <c r="J34" s="136">
        <v>19</v>
      </c>
      <c r="K34" s="27">
        <v>80</v>
      </c>
      <c r="L34" s="28">
        <v>1450</v>
      </c>
      <c r="M34" s="38" t="s">
        <v>1429</v>
      </c>
      <c r="N34" s="73">
        <v>3206.9309999999996</v>
      </c>
      <c r="P34" s="137"/>
    </row>
    <row r="35" spans="4:16" ht="15.75" thickBot="1">
      <c r="D35" s="2"/>
      <c r="E35" s="135" t="s">
        <v>1448</v>
      </c>
      <c r="F35" s="14">
        <v>5.5</v>
      </c>
      <c r="G35" s="15">
        <v>7.5</v>
      </c>
      <c r="H35" s="14">
        <v>100</v>
      </c>
      <c r="I35" s="28">
        <v>10</v>
      </c>
      <c r="J35" s="136">
        <v>17</v>
      </c>
      <c r="K35" s="27">
        <v>100</v>
      </c>
      <c r="L35" s="28">
        <v>1450</v>
      </c>
      <c r="M35" s="38" t="s">
        <v>1429</v>
      </c>
      <c r="N35" s="73">
        <v>3206.9309999999996</v>
      </c>
      <c r="P35" s="137"/>
    </row>
    <row r="36" spans="4:16" ht="15.75" thickBot="1">
      <c r="D36" s="2"/>
      <c r="E36" s="135" t="s">
        <v>1449</v>
      </c>
      <c r="F36" s="14">
        <v>5.5</v>
      </c>
      <c r="G36" s="15">
        <v>7.5</v>
      </c>
      <c r="H36" s="14">
        <v>150</v>
      </c>
      <c r="I36" s="28">
        <v>7</v>
      </c>
      <c r="J36" s="136">
        <v>13.5</v>
      </c>
      <c r="K36" s="27">
        <v>150</v>
      </c>
      <c r="L36" s="28">
        <v>1450</v>
      </c>
      <c r="M36" s="38" t="s">
        <v>1429</v>
      </c>
      <c r="N36" s="73">
        <v>3281.5440000000003</v>
      </c>
      <c r="P36" s="137"/>
    </row>
    <row r="37" spans="4:16" ht="15.75" thickBot="1">
      <c r="D37" s="2"/>
      <c r="E37" s="135" t="s">
        <v>1450</v>
      </c>
      <c r="F37" s="14">
        <v>7.5</v>
      </c>
      <c r="G37" s="15">
        <v>10</v>
      </c>
      <c r="H37" s="14">
        <v>80</v>
      </c>
      <c r="I37" s="28">
        <v>15</v>
      </c>
      <c r="J37" s="136">
        <v>22</v>
      </c>
      <c r="K37" s="27">
        <v>80</v>
      </c>
      <c r="L37" s="28">
        <v>1450</v>
      </c>
      <c r="M37" s="38" t="s">
        <v>1429</v>
      </c>
      <c r="N37" s="73">
        <v>3430.413</v>
      </c>
      <c r="P37" s="137"/>
    </row>
    <row r="38" spans="4:16" ht="15.75" thickBot="1">
      <c r="D38" s="2"/>
      <c r="E38" s="135" t="s">
        <v>1451</v>
      </c>
      <c r="F38" s="14">
        <v>7.5</v>
      </c>
      <c r="G38" s="15">
        <v>10</v>
      </c>
      <c r="H38" s="14">
        <v>100</v>
      </c>
      <c r="I38" s="28">
        <v>12</v>
      </c>
      <c r="J38" s="136">
        <v>19</v>
      </c>
      <c r="K38" s="27">
        <v>100</v>
      </c>
      <c r="L38" s="28">
        <v>1450</v>
      </c>
      <c r="M38" s="38" t="s">
        <v>1429</v>
      </c>
      <c r="N38" s="73">
        <v>3430.413</v>
      </c>
      <c r="P38" s="137"/>
    </row>
    <row r="39" spans="4:16" ht="15.75" thickBot="1">
      <c r="D39" s="2"/>
      <c r="E39" s="135" t="s">
        <v>1452</v>
      </c>
      <c r="F39" s="14">
        <v>7.5</v>
      </c>
      <c r="G39" s="15">
        <v>10</v>
      </c>
      <c r="H39" s="14">
        <v>145</v>
      </c>
      <c r="I39" s="28">
        <v>9</v>
      </c>
      <c r="J39" s="136">
        <v>15.5</v>
      </c>
      <c r="K39" s="27">
        <v>150</v>
      </c>
      <c r="L39" s="28">
        <v>1450</v>
      </c>
      <c r="M39" s="38" t="s">
        <v>1429</v>
      </c>
      <c r="N39" s="73">
        <v>3505.0259999999998</v>
      </c>
      <c r="P39" s="137"/>
    </row>
    <row r="40" spans="4:16" ht="15.75" thickBot="1">
      <c r="D40" s="2"/>
      <c r="E40" s="135" t="s">
        <v>1453</v>
      </c>
      <c r="F40" s="14">
        <v>7.5</v>
      </c>
      <c r="G40" s="15">
        <v>10</v>
      </c>
      <c r="H40" s="14">
        <v>250</v>
      </c>
      <c r="I40" s="28">
        <v>6</v>
      </c>
      <c r="J40" s="136">
        <v>15</v>
      </c>
      <c r="K40" s="27">
        <v>200</v>
      </c>
      <c r="L40" s="28">
        <v>1450</v>
      </c>
      <c r="M40" s="38" t="s">
        <v>1429</v>
      </c>
      <c r="N40" s="73">
        <v>3729.2219999999993</v>
      </c>
      <c r="P40" s="137"/>
    </row>
    <row r="41" spans="4:16" ht="15.75" thickBot="1">
      <c r="D41" s="2"/>
      <c r="E41" s="135" t="s">
        <v>1454</v>
      </c>
      <c r="F41" s="14">
        <v>11</v>
      </c>
      <c r="G41" s="15">
        <v>15</v>
      </c>
      <c r="H41" s="14">
        <v>80</v>
      </c>
      <c r="I41" s="28">
        <v>22</v>
      </c>
      <c r="J41" s="136">
        <v>29</v>
      </c>
      <c r="K41" s="27">
        <v>80</v>
      </c>
      <c r="L41" s="28">
        <v>1450</v>
      </c>
      <c r="M41" s="38" t="s">
        <v>1429</v>
      </c>
      <c r="N41" s="73">
        <v>4176.1859999999997</v>
      </c>
      <c r="P41" s="137"/>
    </row>
    <row r="42" spans="4:16" ht="15.75" thickBot="1">
      <c r="D42" s="2"/>
      <c r="E42" s="135" t="s">
        <v>1455</v>
      </c>
      <c r="F42" s="14">
        <v>11</v>
      </c>
      <c r="G42" s="15">
        <v>15</v>
      </c>
      <c r="H42" s="14">
        <v>100</v>
      </c>
      <c r="I42" s="28">
        <v>20</v>
      </c>
      <c r="J42" s="136">
        <v>28</v>
      </c>
      <c r="K42" s="27">
        <v>100</v>
      </c>
      <c r="L42" s="28">
        <v>1450</v>
      </c>
      <c r="M42" s="38" t="s">
        <v>1429</v>
      </c>
      <c r="N42" s="73">
        <v>4176.1859999999997</v>
      </c>
      <c r="P42" s="137"/>
    </row>
    <row r="43" spans="4:16" ht="15.75" thickBot="1">
      <c r="D43" s="2"/>
      <c r="E43" s="135" t="s">
        <v>1456</v>
      </c>
      <c r="F43" s="14">
        <v>11</v>
      </c>
      <c r="G43" s="15">
        <v>15</v>
      </c>
      <c r="H43" s="14">
        <v>180</v>
      </c>
      <c r="I43" s="28">
        <v>11</v>
      </c>
      <c r="J43" s="136">
        <v>21</v>
      </c>
      <c r="K43" s="27">
        <v>150</v>
      </c>
      <c r="L43" s="28">
        <v>1450</v>
      </c>
      <c r="M43" s="38" t="s">
        <v>1429</v>
      </c>
      <c r="N43" s="73">
        <v>4325.4119999999994</v>
      </c>
      <c r="P43" s="137"/>
    </row>
    <row r="44" spans="4:16" ht="15.75" thickBot="1">
      <c r="D44" s="2"/>
      <c r="E44" s="135" t="s">
        <v>1457</v>
      </c>
      <c r="F44" s="14">
        <v>11</v>
      </c>
      <c r="G44" s="15">
        <v>15</v>
      </c>
      <c r="H44" s="14">
        <v>300</v>
      </c>
      <c r="I44" s="28">
        <v>7</v>
      </c>
      <c r="J44" s="136">
        <v>21</v>
      </c>
      <c r="K44" s="27">
        <v>200</v>
      </c>
      <c r="L44" s="28">
        <v>1450</v>
      </c>
      <c r="M44" s="38" t="s">
        <v>1429</v>
      </c>
      <c r="N44" s="73">
        <v>4474.9949999999999</v>
      </c>
      <c r="P44" s="137"/>
    </row>
    <row r="45" spans="4:16" ht="15.75" thickBot="1">
      <c r="D45" s="16"/>
      <c r="E45" s="135" t="s">
        <v>1458</v>
      </c>
      <c r="F45" s="14">
        <v>11</v>
      </c>
      <c r="G45" s="15">
        <v>15</v>
      </c>
      <c r="H45" s="14">
        <v>400</v>
      </c>
      <c r="I45" s="28">
        <v>5</v>
      </c>
      <c r="J45" s="136">
        <v>13.5</v>
      </c>
      <c r="K45" s="27">
        <v>250</v>
      </c>
      <c r="L45" s="28">
        <v>1450</v>
      </c>
      <c r="M45" s="38" t="s">
        <v>1429</v>
      </c>
      <c r="N45" s="73">
        <v>4847.7030000000004</v>
      </c>
      <c r="P45" s="137"/>
    </row>
    <row r="46" spans="4:16" ht="15.75" thickBot="1">
      <c r="D46" s="2"/>
      <c r="E46" s="135" t="s">
        <v>1459</v>
      </c>
      <c r="F46" s="14">
        <v>15</v>
      </c>
      <c r="G46" s="15">
        <v>20</v>
      </c>
      <c r="H46" s="14">
        <v>80</v>
      </c>
      <c r="I46" s="28">
        <v>25</v>
      </c>
      <c r="J46" s="136">
        <v>32</v>
      </c>
      <c r="K46" s="27">
        <v>80</v>
      </c>
      <c r="L46" s="28">
        <v>1450</v>
      </c>
      <c r="M46" s="38" t="s">
        <v>1429</v>
      </c>
      <c r="N46" s="73">
        <v>4400.3819999999996</v>
      </c>
      <c r="P46" s="137"/>
    </row>
    <row r="47" spans="4:16" ht="15.75" thickBot="1">
      <c r="D47" s="2"/>
      <c r="E47" s="135" t="s">
        <v>1460</v>
      </c>
      <c r="F47" s="14">
        <v>15</v>
      </c>
      <c r="G47" s="15">
        <v>20</v>
      </c>
      <c r="H47" s="14">
        <v>100</v>
      </c>
      <c r="I47" s="28">
        <v>25</v>
      </c>
      <c r="J47" s="136">
        <v>35</v>
      </c>
      <c r="K47" s="27">
        <v>100</v>
      </c>
      <c r="L47" s="28">
        <v>1450</v>
      </c>
      <c r="M47" s="38" t="s">
        <v>1429</v>
      </c>
      <c r="N47" s="73">
        <v>4400.3819999999996</v>
      </c>
      <c r="P47" s="137"/>
    </row>
    <row r="48" spans="4:16" ht="15.75" thickBot="1">
      <c r="D48" s="2"/>
      <c r="E48" s="135" t="s">
        <v>1461</v>
      </c>
      <c r="F48" s="14">
        <v>15</v>
      </c>
      <c r="G48" s="15">
        <v>20</v>
      </c>
      <c r="H48" s="14">
        <v>200</v>
      </c>
      <c r="I48" s="28">
        <v>15</v>
      </c>
      <c r="J48" s="136">
        <v>25</v>
      </c>
      <c r="K48" s="27">
        <v>150</v>
      </c>
      <c r="L48" s="28">
        <v>1450</v>
      </c>
      <c r="M48" s="38" t="s">
        <v>1429</v>
      </c>
      <c r="N48" s="73">
        <v>4623.8639999999996</v>
      </c>
      <c r="P48" s="137"/>
    </row>
    <row r="49" spans="4:16" ht="15.75" thickBot="1">
      <c r="D49" s="2"/>
      <c r="E49" s="135" t="s">
        <v>1462</v>
      </c>
      <c r="F49" s="14">
        <v>15</v>
      </c>
      <c r="G49" s="15">
        <v>20</v>
      </c>
      <c r="H49" s="14">
        <v>250</v>
      </c>
      <c r="I49" s="28">
        <v>11</v>
      </c>
      <c r="J49" s="136">
        <v>25</v>
      </c>
      <c r="K49" s="27">
        <v>200</v>
      </c>
      <c r="L49" s="28">
        <v>1450</v>
      </c>
      <c r="M49" s="38" t="s">
        <v>1429</v>
      </c>
      <c r="N49" s="73">
        <v>4698.4769999999999</v>
      </c>
      <c r="P49" s="137"/>
    </row>
    <row r="50" spans="4:16" ht="15.75" thickBot="1">
      <c r="D50" s="2"/>
      <c r="E50" s="135" t="s">
        <v>1463</v>
      </c>
      <c r="F50" s="14">
        <v>15</v>
      </c>
      <c r="G50" s="15">
        <v>20</v>
      </c>
      <c r="H50" s="14">
        <v>450</v>
      </c>
      <c r="I50" s="28">
        <v>5</v>
      </c>
      <c r="J50" s="136">
        <v>17.5</v>
      </c>
      <c r="K50" s="27">
        <v>250</v>
      </c>
      <c r="L50" s="28">
        <v>1450</v>
      </c>
      <c r="M50" s="38" t="s">
        <v>1429</v>
      </c>
      <c r="N50" s="73">
        <v>5071.5419999999995</v>
      </c>
      <c r="P50" s="137"/>
    </row>
    <row r="51" spans="4:16" ht="15.75" thickBot="1">
      <c r="D51" s="2"/>
      <c r="E51" s="135" t="s">
        <v>1464</v>
      </c>
      <c r="F51" s="14">
        <v>18.5</v>
      </c>
      <c r="G51" s="15">
        <v>25</v>
      </c>
      <c r="H51" s="14">
        <v>80</v>
      </c>
      <c r="I51" s="28">
        <v>30</v>
      </c>
      <c r="J51" s="136">
        <v>37</v>
      </c>
      <c r="K51" s="27">
        <v>80</v>
      </c>
      <c r="L51" s="28">
        <v>1450</v>
      </c>
      <c r="M51" s="38" t="s">
        <v>1429</v>
      </c>
      <c r="N51" s="73">
        <v>5593.1189999999997</v>
      </c>
      <c r="P51" s="137"/>
    </row>
    <row r="52" spans="4:16" ht="15.75" thickBot="1">
      <c r="D52" s="2"/>
      <c r="E52" s="135" t="s">
        <v>1465</v>
      </c>
      <c r="F52" s="14">
        <v>18.5</v>
      </c>
      <c r="G52" s="15">
        <v>25</v>
      </c>
      <c r="H52" s="14">
        <v>100</v>
      </c>
      <c r="I52" s="28">
        <v>30</v>
      </c>
      <c r="J52" s="136">
        <v>39</v>
      </c>
      <c r="K52" s="27">
        <v>100</v>
      </c>
      <c r="L52" s="28">
        <v>1450</v>
      </c>
      <c r="M52" s="38" t="s">
        <v>1429</v>
      </c>
      <c r="N52" s="73">
        <v>5593.1189999999997</v>
      </c>
      <c r="P52" s="137"/>
    </row>
    <row r="53" spans="4:16" ht="15.75" thickBot="1">
      <c r="D53" s="2"/>
      <c r="E53" s="135" t="s">
        <v>1466</v>
      </c>
      <c r="F53" s="14">
        <v>18.5</v>
      </c>
      <c r="G53" s="15">
        <v>25</v>
      </c>
      <c r="H53" s="14">
        <v>180</v>
      </c>
      <c r="I53" s="28">
        <v>20</v>
      </c>
      <c r="J53" s="136">
        <v>30</v>
      </c>
      <c r="K53" s="27">
        <v>150</v>
      </c>
      <c r="L53" s="28">
        <v>1450</v>
      </c>
      <c r="M53" s="38" t="s">
        <v>1429</v>
      </c>
      <c r="N53" s="73">
        <v>5743.0590000000002</v>
      </c>
      <c r="P53" s="137"/>
    </row>
    <row r="54" spans="4:16" ht="15.75" thickBot="1">
      <c r="D54" s="2"/>
      <c r="E54" s="135" t="s">
        <v>1467</v>
      </c>
      <c r="F54" s="14">
        <v>18.5</v>
      </c>
      <c r="G54" s="15">
        <v>25</v>
      </c>
      <c r="H54" s="14">
        <v>250</v>
      </c>
      <c r="I54" s="28">
        <v>15</v>
      </c>
      <c r="J54" s="136">
        <v>27</v>
      </c>
      <c r="K54" s="27">
        <v>200</v>
      </c>
      <c r="L54" s="28">
        <v>1450</v>
      </c>
      <c r="M54" s="38" t="s">
        <v>1429</v>
      </c>
      <c r="N54" s="73">
        <v>5817.3150000000005</v>
      </c>
      <c r="P54" s="137"/>
    </row>
    <row r="55" spans="4:16" ht="15.75" thickBot="1">
      <c r="D55" s="2"/>
      <c r="E55" s="135" t="s">
        <v>1468</v>
      </c>
      <c r="F55" s="14">
        <v>18.5</v>
      </c>
      <c r="G55" s="15">
        <v>25</v>
      </c>
      <c r="H55" s="14">
        <v>350</v>
      </c>
      <c r="I55" s="28">
        <v>10</v>
      </c>
      <c r="J55" s="136">
        <v>27</v>
      </c>
      <c r="K55" s="27">
        <v>200</v>
      </c>
      <c r="L55" s="28">
        <v>1450</v>
      </c>
      <c r="M55" s="38" t="s">
        <v>1429</v>
      </c>
      <c r="N55" s="73">
        <v>5817.3150000000005</v>
      </c>
      <c r="P55" s="137"/>
    </row>
    <row r="56" spans="4:16" ht="15.75" thickBot="1">
      <c r="D56" s="2"/>
      <c r="E56" s="135" t="s">
        <v>1469</v>
      </c>
      <c r="F56" s="14">
        <v>18.5</v>
      </c>
      <c r="G56" s="15">
        <v>25</v>
      </c>
      <c r="H56" s="14">
        <v>500</v>
      </c>
      <c r="I56" s="28">
        <v>7</v>
      </c>
      <c r="J56" s="136">
        <v>20.5</v>
      </c>
      <c r="K56" s="27">
        <v>250</v>
      </c>
      <c r="L56" s="28">
        <v>1450</v>
      </c>
      <c r="M56" s="38" t="s">
        <v>1429</v>
      </c>
      <c r="N56" s="73">
        <v>6190.023000000001</v>
      </c>
      <c r="P56" s="137"/>
    </row>
    <row r="57" spans="4:16" ht="15.75" thickBot="1">
      <c r="D57" s="2"/>
      <c r="E57" s="135" t="s">
        <v>1470</v>
      </c>
      <c r="F57" s="14">
        <v>18.5</v>
      </c>
      <c r="G57" s="15">
        <v>25</v>
      </c>
      <c r="H57" s="14">
        <v>600</v>
      </c>
      <c r="I57" s="28">
        <v>5</v>
      </c>
      <c r="J57" s="136">
        <v>20</v>
      </c>
      <c r="K57" s="27">
        <v>300</v>
      </c>
      <c r="L57" s="28">
        <v>1450</v>
      </c>
      <c r="M57" s="38" t="s">
        <v>1429</v>
      </c>
      <c r="N57" s="73">
        <v>6712.3140000000003</v>
      </c>
      <c r="P57" s="137"/>
    </row>
    <row r="58" spans="4:16" ht="15.75" thickBot="1">
      <c r="D58" s="2"/>
      <c r="E58" s="135" t="s">
        <v>1471</v>
      </c>
      <c r="F58" s="14">
        <v>22</v>
      </c>
      <c r="G58" s="15">
        <v>30</v>
      </c>
      <c r="H58" s="14">
        <v>80</v>
      </c>
      <c r="I58" s="28">
        <v>35</v>
      </c>
      <c r="J58" s="136">
        <v>42</v>
      </c>
      <c r="K58" s="27">
        <v>80</v>
      </c>
      <c r="L58" s="28">
        <v>1450</v>
      </c>
      <c r="M58" s="38" t="s">
        <v>1429</v>
      </c>
      <c r="N58" s="73">
        <v>5817.3150000000005</v>
      </c>
      <c r="P58" s="137"/>
    </row>
    <row r="59" spans="4:16" ht="15.75" thickBot="1">
      <c r="D59" s="2"/>
      <c r="E59" s="135" t="s">
        <v>1472</v>
      </c>
      <c r="F59" s="14">
        <v>22</v>
      </c>
      <c r="G59" s="15">
        <v>30</v>
      </c>
      <c r="H59" s="14">
        <v>100</v>
      </c>
      <c r="I59" s="28">
        <v>32</v>
      </c>
      <c r="J59" s="136">
        <v>42</v>
      </c>
      <c r="K59" s="27">
        <v>100</v>
      </c>
      <c r="L59" s="28">
        <v>1450</v>
      </c>
      <c r="M59" s="38" t="s">
        <v>1429</v>
      </c>
      <c r="N59" s="73">
        <v>5817.3150000000005</v>
      </c>
      <c r="P59" s="137"/>
    </row>
    <row r="60" spans="4:16" ht="15.75" thickBot="1">
      <c r="D60" s="2"/>
      <c r="E60" s="135" t="s">
        <v>1473</v>
      </c>
      <c r="F60" s="14">
        <v>22</v>
      </c>
      <c r="G60" s="15">
        <v>30</v>
      </c>
      <c r="H60" s="14">
        <v>200</v>
      </c>
      <c r="I60" s="28">
        <v>22</v>
      </c>
      <c r="J60" s="136">
        <v>32</v>
      </c>
      <c r="K60" s="27">
        <v>150</v>
      </c>
      <c r="L60" s="28">
        <v>1450</v>
      </c>
      <c r="M60" s="38" t="s">
        <v>1429</v>
      </c>
      <c r="N60" s="73">
        <v>6040.7969999999996</v>
      </c>
      <c r="P60" s="137"/>
    </row>
    <row r="61" spans="4:16" ht="15.75" thickBot="1">
      <c r="D61" s="2"/>
      <c r="E61" s="135" t="s">
        <v>1474</v>
      </c>
      <c r="F61" s="14">
        <v>22</v>
      </c>
      <c r="G61" s="15">
        <v>30</v>
      </c>
      <c r="H61" s="14">
        <v>300</v>
      </c>
      <c r="I61" s="28">
        <v>16</v>
      </c>
      <c r="J61" s="136">
        <v>32</v>
      </c>
      <c r="K61" s="27">
        <v>200</v>
      </c>
      <c r="L61" s="28">
        <v>1450</v>
      </c>
      <c r="M61" s="38" t="s">
        <v>1429</v>
      </c>
      <c r="N61" s="73">
        <v>6115.41</v>
      </c>
      <c r="P61" s="137"/>
    </row>
    <row r="62" spans="4:16" ht="15.75" thickBot="1">
      <c r="D62" s="2"/>
      <c r="E62" s="135" t="s">
        <v>1475</v>
      </c>
      <c r="F62" s="14">
        <v>22</v>
      </c>
      <c r="G62" s="15">
        <v>30</v>
      </c>
      <c r="H62" s="14">
        <v>400</v>
      </c>
      <c r="I62" s="28">
        <v>10</v>
      </c>
      <c r="J62" s="136">
        <v>32</v>
      </c>
      <c r="K62" s="27">
        <v>200</v>
      </c>
      <c r="L62" s="28">
        <v>1450</v>
      </c>
      <c r="M62" s="38" t="s">
        <v>1429</v>
      </c>
      <c r="N62" s="73">
        <v>6115.41</v>
      </c>
      <c r="P62" s="137"/>
    </row>
    <row r="63" spans="4:16" ht="15.75" thickBot="1">
      <c r="D63" s="2"/>
      <c r="E63" s="135" t="s">
        <v>1476</v>
      </c>
      <c r="F63" s="14">
        <v>22</v>
      </c>
      <c r="G63" s="15">
        <v>30</v>
      </c>
      <c r="H63" s="14">
        <v>500</v>
      </c>
      <c r="I63" s="28">
        <v>9</v>
      </c>
      <c r="J63" s="136">
        <v>22</v>
      </c>
      <c r="K63" s="27">
        <v>250</v>
      </c>
      <c r="L63" s="28">
        <v>1450</v>
      </c>
      <c r="M63" s="38" t="s">
        <v>1429</v>
      </c>
      <c r="N63" s="73">
        <v>6488.4750000000004</v>
      </c>
      <c r="P63" s="137"/>
    </row>
    <row r="64" spans="4:16" ht="15.75" thickBot="1">
      <c r="D64" s="2"/>
      <c r="E64" s="135" t="s">
        <v>1477</v>
      </c>
      <c r="F64" s="14">
        <v>22</v>
      </c>
      <c r="G64" s="15">
        <v>30</v>
      </c>
      <c r="H64" s="14">
        <v>550</v>
      </c>
      <c r="I64" s="28">
        <v>7</v>
      </c>
      <c r="J64" s="136">
        <v>21</v>
      </c>
      <c r="K64" s="27">
        <v>300</v>
      </c>
      <c r="L64" s="28">
        <v>1450</v>
      </c>
      <c r="M64" s="38" t="s">
        <v>1429</v>
      </c>
      <c r="N64" s="73">
        <v>7085.3789999999999</v>
      </c>
      <c r="P64" s="137"/>
    </row>
    <row r="65" spans="4:16" ht="15.75" thickBot="1">
      <c r="D65" s="2"/>
      <c r="E65" s="135" t="s">
        <v>1478</v>
      </c>
      <c r="F65" s="14">
        <v>30</v>
      </c>
      <c r="G65" s="15">
        <v>40</v>
      </c>
      <c r="H65" s="14">
        <v>120</v>
      </c>
      <c r="I65" s="28">
        <v>40</v>
      </c>
      <c r="J65" s="136">
        <v>48</v>
      </c>
      <c r="K65" s="27">
        <v>100</v>
      </c>
      <c r="L65" s="28">
        <v>1450</v>
      </c>
      <c r="M65" s="38" t="s">
        <v>1429</v>
      </c>
      <c r="N65" s="73">
        <v>10142.727000000001</v>
      </c>
      <c r="P65" s="137"/>
    </row>
    <row r="66" spans="4:16" ht="15.75" thickBot="1">
      <c r="D66" s="2"/>
      <c r="E66" s="135" t="s">
        <v>1479</v>
      </c>
      <c r="F66" s="14">
        <v>30</v>
      </c>
      <c r="G66" s="15">
        <v>40</v>
      </c>
      <c r="H66" s="14">
        <v>180</v>
      </c>
      <c r="I66" s="28">
        <v>28</v>
      </c>
      <c r="J66" s="136">
        <v>35</v>
      </c>
      <c r="K66" s="27">
        <v>150</v>
      </c>
      <c r="L66" s="28">
        <v>1450</v>
      </c>
      <c r="M66" s="38" t="s">
        <v>1429</v>
      </c>
      <c r="N66" s="73">
        <v>9993.8580000000002</v>
      </c>
      <c r="P66" s="137"/>
    </row>
    <row r="67" spans="4:16" ht="15.75" thickBot="1">
      <c r="D67" s="2"/>
      <c r="E67" s="135" t="s">
        <v>1480</v>
      </c>
      <c r="F67" s="14">
        <v>30</v>
      </c>
      <c r="G67" s="15">
        <v>40</v>
      </c>
      <c r="H67" s="14">
        <v>250</v>
      </c>
      <c r="I67" s="28">
        <v>22</v>
      </c>
      <c r="J67" s="136">
        <v>34.5</v>
      </c>
      <c r="K67" s="27">
        <v>200</v>
      </c>
      <c r="L67" s="28">
        <v>1450</v>
      </c>
      <c r="M67" s="38" t="s">
        <v>1429</v>
      </c>
      <c r="N67" s="73">
        <v>10142.727000000001</v>
      </c>
      <c r="P67" s="137"/>
    </row>
    <row r="68" spans="4:16" ht="15.75" thickBot="1">
      <c r="D68" s="2"/>
      <c r="E68" s="135" t="s">
        <v>1481</v>
      </c>
      <c r="F68" s="14">
        <v>30</v>
      </c>
      <c r="G68" s="15">
        <v>40</v>
      </c>
      <c r="H68" s="14">
        <v>500</v>
      </c>
      <c r="I68" s="28">
        <v>10</v>
      </c>
      <c r="J68" s="136">
        <v>23.5</v>
      </c>
      <c r="K68" s="27">
        <v>250</v>
      </c>
      <c r="L68" s="28">
        <v>1450</v>
      </c>
      <c r="M68" s="38" t="s">
        <v>1429</v>
      </c>
      <c r="N68" s="73">
        <v>10441.536000000002</v>
      </c>
      <c r="P68" s="137"/>
    </row>
    <row r="69" spans="4:16" ht="15.75" thickBot="1">
      <c r="D69" s="2"/>
      <c r="E69" s="135" t="s">
        <v>1482</v>
      </c>
      <c r="F69" s="14">
        <v>30</v>
      </c>
      <c r="G69" s="15">
        <v>40</v>
      </c>
      <c r="H69" s="14">
        <v>600</v>
      </c>
      <c r="I69" s="28">
        <v>8</v>
      </c>
      <c r="J69" s="136">
        <v>23.5</v>
      </c>
      <c r="K69" s="27">
        <v>250</v>
      </c>
      <c r="L69" s="28">
        <v>1450</v>
      </c>
      <c r="M69" s="38" t="s">
        <v>1429</v>
      </c>
      <c r="N69" s="73">
        <v>10441.536000000002</v>
      </c>
      <c r="P69" s="137"/>
    </row>
    <row r="70" spans="4:16" ht="15.75" thickBot="1">
      <c r="D70" s="2"/>
      <c r="E70" s="135" t="s">
        <v>1483</v>
      </c>
      <c r="F70" s="14">
        <v>30</v>
      </c>
      <c r="G70" s="15">
        <v>40</v>
      </c>
      <c r="H70" s="14">
        <v>700</v>
      </c>
      <c r="I70" s="28">
        <v>8</v>
      </c>
      <c r="J70" s="136">
        <v>25.5</v>
      </c>
      <c r="K70" s="27">
        <v>300</v>
      </c>
      <c r="L70" s="28">
        <v>1450</v>
      </c>
      <c r="M70" s="38" t="s">
        <v>1429</v>
      </c>
      <c r="N70" s="73">
        <v>10665.018</v>
      </c>
      <c r="P70" s="137"/>
    </row>
    <row r="71" spans="4:16" ht="15.75" thickBot="1">
      <c r="D71" s="2"/>
      <c r="E71" s="135" t="s">
        <v>1484</v>
      </c>
      <c r="F71" s="14">
        <v>37</v>
      </c>
      <c r="G71" s="15">
        <v>50</v>
      </c>
      <c r="H71" s="14">
        <v>120</v>
      </c>
      <c r="I71" s="28">
        <v>45</v>
      </c>
      <c r="J71" s="136">
        <v>53</v>
      </c>
      <c r="K71" s="27">
        <v>100</v>
      </c>
      <c r="L71" s="28">
        <v>1450</v>
      </c>
      <c r="M71" s="38" t="s">
        <v>1429</v>
      </c>
      <c r="N71" s="301" t="s">
        <v>1260</v>
      </c>
      <c r="P71" s="137"/>
    </row>
    <row r="72" spans="4:16" ht="15.75" thickBot="1">
      <c r="D72" s="2"/>
      <c r="E72" s="135" t="s">
        <v>1485</v>
      </c>
      <c r="F72" s="14">
        <v>37</v>
      </c>
      <c r="G72" s="15">
        <v>50</v>
      </c>
      <c r="H72" s="14">
        <v>200</v>
      </c>
      <c r="I72" s="28">
        <v>32</v>
      </c>
      <c r="J72" s="136">
        <v>41</v>
      </c>
      <c r="K72" s="27">
        <v>150</v>
      </c>
      <c r="L72" s="28">
        <v>1450</v>
      </c>
      <c r="M72" s="38" t="s">
        <v>1429</v>
      </c>
      <c r="N72" s="302"/>
      <c r="P72" s="137"/>
    </row>
    <row r="73" spans="4:16" ht="15.75" thickBot="1">
      <c r="D73" s="2"/>
      <c r="E73" s="135" t="s">
        <v>1486</v>
      </c>
      <c r="F73" s="14">
        <v>37</v>
      </c>
      <c r="G73" s="15">
        <v>50</v>
      </c>
      <c r="H73" s="14">
        <v>300</v>
      </c>
      <c r="I73" s="28">
        <v>28</v>
      </c>
      <c r="J73" s="136">
        <v>40.5</v>
      </c>
      <c r="K73" s="27">
        <v>200</v>
      </c>
      <c r="L73" s="28">
        <v>1450</v>
      </c>
      <c r="M73" s="38" t="s">
        <v>1429</v>
      </c>
      <c r="N73" s="302"/>
      <c r="P73" s="137"/>
    </row>
    <row r="74" spans="4:16" ht="15.75" thickBot="1">
      <c r="D74" s="2"/>
      <c r="E74" s="135" t="s">
        <v>1487</v>
      </c>
      <c r="F74" s="14">
        <v>37</v>
      </c>
      <c r="G74" s="15">
        <v>50</v>
      </c>
      <c r="H74" s="14">
        <v>350</v>
      </c>
      <c r="I74" s="28">
        <v>25</v>
      </c>
      <c r="J74" s="136">
        <v>40.5</v>
      </c>
      <c r="K74" s="27">
        <v>200</v>
      </c>
      <c r="L74" s="28">
        <v>1450</v>
      </c>
      <c r="M74" s="38" t="s">
        <v>1429</v>
      </c>
      <c r="N74" s="302"/>
      <c r="P74" s="137"/>
    </row>
    <row r="75" spans="4:16" ht="15.75" thickBot="1">
      <c r="D75" s="2"/>
      <c r="E75" s="135" t="s">
        <v>1488</v>
      </c>
      <c r="F75" s="14">
        <v>37</v>
      </c>
      <c r="G75" s="15">
        <v>50</v>
      </c>
      <c r="H75" s="14">
        <v>600</v>
      </c>
      <c r="I75" s="28">
        <v>12</v>
      </c>
      <c r="J75" s="136">
        <v>28</v>
      </c>
      <c r="K75" s="27">
        <v>250</v>
      </c>
      <c r="L75" s="28">
        <v>1450</v>
      </c>
      <c r="M75" s="38" t="s">
        <v>1429</v>
      </c>
      <c r="N75" s="302"/>
      <c r="P75" s="137"/>
    </row>
    <row r="76" spans="4:16" ht="15.75" thickBot="1">
      <c r="D76" s="2"/>
      <c r="E76" s="135" t="s">
        <v>1489</v>
      </c>
      <c r="F76" s="14">
        <v>37</v>
      </c>
      <c r="G76" s="15">
        <v>50</v>
      </c>
      <c r="H76" s="14">
        <v>700</v>
      </c>
      <c r="I76" s="28">
        <v>11</v>
      </c>
      <c r="J76" s="136">
        <v>29</v>
      </c>
      <c r="K76" s="27">
        <v>300</v>
      </c>
      <c r="L76" s="28">
        <v>1450</v>
      </c>
      <c r="M76" s="38" t="s">
        <v>1429</v>
      </c>
      <c r="N76" s="302"/>
      <c r="P76" s="137"/>
    </row>
    <row r="77" spans="4:16" ht="15.75" thickBot="1">
      <c r="D77" s="2"/>
      <c r="E77" s="135" t="s">
        <v>1490</v>
      </c>
      <c r="F77" s="14">
        <v>45</v>
      </c>
      <c r="G77" s="15">
        <v>60</v>
      </c>
      <c r="H77" s="14">
        <v>100</v>
      </c>
      <c r="I77" s="28">
        <v>55</v>
      </c>
      <c r="J77" s="136">
        <v>61</v>
      </c>
      <c r="K77" s="27">
        <v>100</v>
      </c>
      <c r="L77" s="28">
        <v>1450</v>
      </c>
      <c r="M77" s="38" t="s">
        <v>1429</v>
      </c>
      <c r="N77" s="302"/>
      <c r="P77" s="137"/>
    </row>
    <row r="78" spans="4:16" ht="15.75" thickBot="1">
      <c r="D78" s="2"/>
      <c r="E78" s="135" t="s">
        <v>1491</v>
      </c>
      <c r="F78" s="14">
        <v>45</v>
      </c>
      <c r="G78" s="15">
        <v>60</v>
      </c>
      <c r="H78" s="14">
        <v>200</v>
      </c>
      <c r="I78" s="28">
        <v>36</v>
      </c>
      <c r="J78" s="136">
        <v>46</v>
      </c>
      <c r="K78" s="27">
        <v>150</v>
      </c>
      <c r="L78" s="28">
        <v>1450</v>
      </c>
      <c r="M78" s="38" t="s">
        <v>1429</v>
      </c>
      <c r="N78" s="302"/>
      <c r="P78" s="137"/>
    </row>
    <row r="79" spans="4:16" ht="15.75" thickBot="1">
      <c r="D79" s="2"/>
      <c r="E79" s="135" t="s">
        <v>1492</v>
      </c>
      <c r="F79" s="14">
        <v>45</v>
      </c>
      <c r="G79" s="15">
        <v>60</v>
      </c>
      <c r="H79" s="14">
        <v>300</v>
      </c>
      <c r="I79" s="28">
        <v>30</v>
      </c>
      <c r="J79" s="136">
        <v>41.5</v>
      </c>
      <c r="K79" s="27">
        <v>200</v>
      </c>
      <c r="L79" s="28">
        <v>1450</v>
      </c>
      <c r="M79" s="38" t="s">
        <v>1429</v>
      </c>
      <c r="N79" s="302"/>
      <c r="P79" s="137"/>
    </row>
    <row r="80" spans="4:16" ht="15.75" thickBot="1">
      <c r="D80" s="2"/>
      <c r="E80" s="135" t="s">
        <v>1493</v>
      </c>
      <c r="F80" s="14">
        <v>45</v>
      </c>
      <c r="G80" s="15">
        <v>60</v>
      </c>
      <c r="H80" s="14">
        <v>400</v>
      </c>
      <c r="I80" s="28">
        <v>25</v>
      </c>
      <c r="J80" s="136">
        <v>41.5</v>
      </c>
      <c r="K80" s="27">
        <v>200</v>
      </c>
      <c r="L80" s="28">
        <v>1450</v>
      </c>
      <c r="M80" s="38" t="s">
        <v>1429</v>
      </c>
      <c r="N80" s="302"/>
      <c r="P80" s="137"/>
    </row>
    <row r="81" spans="4:16" ht="15.75" thickBot="1">
      <c r="D81" s="2"/>
      <c r="E81" s="135" t="s">
        <v>1494</v>
      </c>
      <c r="F81" s="14">
        <v>45</v>
      </c>
      <c r="G81" s="15">
        <v>60</v>
      </c>
      <c r="H81" s="14">
        <v>600</v>
      </c>
      <c r="I81" s="28">
        <v>15</v>
      </c>
      <c r="J81" s="136">
        <v>29.5</v>
      </c>
      <c r="K81" s="27">
        <v>250</v>
      </c>
      <c r="L81" s="28">
        <v>1450</v>
      </c>
      <c r="M81" s="38" t="s">
        <v>1429</v>
      </c>
      <c r="N81" s="302"/>
      <c r="P81" s="137"/>
    </row>
    <row r="82" spans="4:16" ht="15.75" thickBot="1">
      <c r="D82" s="2"/>
      <c r="E82" s="135" t="s">
        <v>1495</v>
      </c>
      <c r="F82" s="14">
        <v>45</v>
      </c>
      <c r="G82" s="15">
        <v>60</v>
      </c>
      <c r="H82" s="14">
        <v>800</v>
      </c>
      <c r="I82" s="28">
        <v>12</v>
      </c>
      <c r="J82" s="136">
        <v>32</v>
      </c>
      <c r="K82" s="27">
        <v>300</v>
      </c>
      <c r="L82" s="28">
        <v>1450</v>
      </c>
      <c r="M82" s="38" t="s">
        <v>1429</v>
      </c>
      <c r="N82" s="302"/>
      <c r="P82" s="137"/>
    </row>
    <row r="83" spans="4:16" ht="15.75" thickBot="1">
      <c r="D83" s="2"/>
      <c r="E83" s="135" t="s">
        <v>1496</v>
      </c>
      <c r="F83" s="14">
        <v>55</v>
      </c>
      <c r="G83" s="15">
        <v>75</v>
      </c>
      <c r="H83" s="14">
        <v>100</v>
      </c>
      <c r="I83" s="28">
        <v>65</v>
      </c>
      <c r="J83" s="136">
        <v>73</v>
      </c>
      <c r="K83" s="27">
        <v>100</v>
      </c>
      <c r="L83" s="28">
        <v>1450</v>
      </c>
      <c r="M83" s="38" t="s">
        <v>1429</v>
      </c>
      <c r="N83" s="302"/>
      <c r="P83" s="137"/>
    </row>
    <row r="84" spans="4:16" ht="15.75" thickBot="1">
      <c r="D84" s="2"/>
      <c r="E84" s="135" t="s">
        <v>1497</v>
      </c>
      <c r="F84" s="14">
        <v>55</v>
      </c>
      <c r="G84" s="15">
        <v>75</v>
      </c>
      <c r="H84" s="14">
        <v>180</v>
      </c>
      <c r="I84" s="28">
        <v>40</v>
      </c>
      <c r="J84" s="136">
        <v>49</v>
      </c>
      <c r="K84" s="27">
        <v>150</v>
      </c>
      <c r="L84" s="28">
        <v>1450</v>
      </c>
      <c r="M84" s="38" t="s">
        <v>1429</v>
      </c>
      <c r="N84" s="302"/>
      <c r="P84" s="137"/>
    </row>
    <row r="85" spans="4:16" ht="15.75" thickBot="1">
      <c r="D85" s="2"/>
      <c r="E85" s="135" t="s">
        <v>1498</v>
      </c>
      <c r="F85" s="14">
        <v>55</v>
      </c>
      <c r="G85" s="15">
        <v>75</v>
      </c>
      <c r="H85" s="14">
        <v>300</v>
      </c>
      <c r="I85" s="28">
        <v>35</v>
      </c>
      <c r="J85" s="136">
        <v>44</v>
      </c>
      <c r="K85" s="27">
        <v>200</v>
      </c>
      <c r="L85" s="28">
        <v>1450</v>
      </c>
      <c r="M85" s="38" t="s">
        <v>1429</v>
      </c>
      <c r="N85" s="302"/>
      <c r="P85" s="137"/>
    </row>
    <row r="86" spans="4:16" ht="15.75" thickBot="1">
      <c r="D86" s="2"/>
      <c r="E86" s="135" t="s">
        <v>1499</v>
      </c>
      <c r="F86" s="14">
        <v>55</v>
      </c>
      <c r="G86" s="15">
        <v>75</v>
      </c>
      <c r="H86" s="14">
        <v>400</v>
      </c>
      <c r="I86" s="28">
        <v>30</v>
      </c>
      <c r="J86" s="136">
        <v>44</v>
      </c>
      <c r="K86" s="27">
        <v>200</v>
      </c>
      <c r="L86" s="28">
        <v>1450</v>
      </c>
      <c r="M86" s="38" t="s">
        <v>1429</v>
      </c>
      <c r="N86" s="302"/>
      <c r="P86" s="137"/>
    </row>
    <row r="87" spans="4:16" ht="15.75" thickBot="1">
      <c r="D87" s="2"/>
      <c r="E87" s="135" t="s">
        <v>1500</v>
      </c>
      <c r="F87" s="14">
        <v>55</v>
      </c>
      <c r="G87" s="15">
        <v>75</v>
      </c>
      <c r="H87" s="14">
        <v>600</v>
      </c>
      <c r="I87" s="28">
        <v>20</v>
      </c>
      <c r="J87" s="136">
        <v>36</v>
      </c>
      <c r="K87" s="27">
        <v>250</v>
      </c>
      <c r="L87" s="28">
        <v>1450</v>
      </c>
      <c r="M87" s="38" t="s">
        <v>1429</v>
      </c>
      <c r="N87" s="302"/>
      <c r="P87" s="137"/>
    </row>
    <row r="88" spans="4:16" ht="15.75" thickBot="1">
      <c r="D88" s="2"/>
      <c r="E88" s="135" t="s">
        <v>1501</v>
      </c>
      <c r="F88" s="14">
        <v>55</v>
      </c>
      <c r="G88" s="15">
        <v>75</v>
      </c>
      <c r="H88" s="14">
        <v>800</v>
      </c>
      <c r="I88" s="28">
        <v>15</v>
      </c>
      <c r="J88" s="136">
        <v>33.5</v>
      </c>
      <c r="K88" s="27">
        <v>300</v>
      </c>
      <c r="L88" s="28">
        <v>1450</v>
      </c>
      <c r="M88" s="38" t="s">
        <v>1429</v>
      </c>
      <c r="N88" s="302"/>
      <c r="P88" s="137"/>
    </row>
    <row r="89" spans="4:16" ht="15.75" thickBot="1">
      <c r="D89" s="2"/>
      <c r="E89" s="135" t="s">
        <v>1502</v>
      </c>
      <c r="F89" s="14">
        <v>75</v>
      </c>
      <c r="G89" s="15">
        <v>100</v>
      </c>
      <c r="H89" s="14">
        <v>200</v>
      </c>
      <c r="I89" s="28">
        <v>57</v>
      </c>
      <c r="J89" s="136">
        <v>66</v>
      </c>
      <c r="K89" s="27">
        <v>150</v>
      </c>
      <c r="L89" s="28">
        <v>1450</v>
      </c>
      <c r="M89" s="38" t="s">
        <v>1429</v>
      </c>
      <c r="N89" s="302"/>
      <c r="P89" s="137"/>
    </row>
    <row r="90" spans="4:16" ht="15.75" thickBot="1">
      <c r="D90" s="2"/>
      <c r="E90" s="135" t="s">
        <v>1503</v>
      </c>
      <c r="F90" s="14">
        <v>75</v>
      </c>
      <c r="G90" s="15">
        <v>100</v>
      </c>
      <c r="H90" s="14">
        <v>350</v>
      </c>
      <c r="I90" s="28">
        <v>45</v>
      </c>
      <c r="J90" s="136">
        <v>54</v>
      </c>
      <c r="K90" s="27">
        <v>200</v>
      </c>
      <c r="L90" s="28">
        <v>1450</v>
      </c>
      <c r="M90" s="38" t="s">
        <v>1429</v>
      </c>
      <c r="N90" s="302"/>
      <c r="P90" s="137"/>
    </row>
    <row r="91" spans="4:16" ht="15.75" thickBot="1">
      <c r="D91" s="2"/>
      <c r="E91" s="135" t="s">
        <v>1504</v>
      </c>
      <c r="F91" s="14">
        <v>75</v>
      </c>
      <c r="G91" s="15">
        <v>100</v>
      </c>
      <c r="H91" s="14">
        <v>600</v>
      </c>
      <c r="I91" s="28">
        <v>25</v>
      </c>
      <c r="J91" s="136">
        <v>42</v>
      </c>
      <c r="K91" s="27">
        <v>250</v>
      </c>
      <c r="L91" s="28">
        <v>1450</v>
      </c>
      <c r="M91" s="38" t="s">
        <v>1429</v>
      </c>
      <c r="N91" s="302"/>
      <c r="P91" s="137"/>
    </row>
    <row r="92" spans="4:16" ht="15.75" thickBot="1">
      <c r="D92" s="2"/>
      <c r="E92" s="135" t="s">
        <v>1505</v>
      </c>
      <c r="F92" s="14">
        <v>75</v>
      </c>
      <c r="G92" s="15">
        <v>100</v>
      </c>
      <c r="H92" s="14">
        <v>800</v>
      </c>
      <c r="I92" s="28">
        <v>20</v>
      </c>
      <c r="J92" s="136">
        <v>41</v>
      </c>
      <c r="K92" s="27">
        <v>300</v>
      </c>
      <c r="L92" s="28">
        <v>1450</v>
      </c>
      <c r="M92" s="38" t="s">
        <v>1429</v>
      </c>
      <c r="N92" s="302"/>
      <c r="P92" s="137"/>
    </row>
    <row r="93" spans="4:16" ht="15.75" thickBot="1">
      <c r="D93" s="2"/>
      <c r="E93" s="135" t="s">
        <v>1506</v>
      </c>
      <c r="F93" s="14">
        <v>90</v>
      </c>
      <c r="G93" s="15">
        <v>125</v>
      </c>
      <c r="H93" s="14">
        <v>200</v>
      </c>
      <c r="I93" s="28">
        <v>60</v>
      </c>
      <c r="J93" s="136">
        <v>70</v>
      </c>
      <c r="K93" s="27">
        <v>150</v>
      </c>
      <c r="L93" s="28">
        <v>1450</v>
      </c>
      <c r="M93" s="38" t="s">
        <v>1429</v>
      </c>
      <c r="N93" s="302"/>
      <c r="P93" s="137"/>
    </row>
    <row r="94" spans="4:16" ht="15.75" thickBot="1">
      <c r="D94" s="2"/>
      <c r="E94" s="135" t="s">
        <v>1507</v>
      </c>
      <c r="F94" s="14">
        <v>90</v>
      </c>
      <c r="G94" s="15">
        <v>125</v>
      </c>
      <c r="H94" s="14">
        <v>300</v>
      </c>
      <c r="I94" s="28">
        <v>50</v>
      </c>
      <c r="J94" s="136">
        <v>58</v>
      </c>
      <c r="K94" s="27">
        <v>200</v>
      </c>
      <c r="L94" s="28">
        <v>1450</v>
      </c>
      <c r="M94" s="38" t="s">
        <v>1429</v>
      </c>
      <c r="N94" s="302"/>
      <c r="P94" s="137"/>
    </row>
    <row r="95" spans="4:16" ht="15.75" thickBot="1">
      <c r="D95" s="2"/>
      <c r="E95" s="135" t="s">
        <v>1508</v>
      </c>
      <c r="F95" s="14">
        <v>90</v>
      </c>
      <c r="G95" s="15">
        <v>125</v>
      </c>
      <c r="H95" s="14">
        <v>400</v>
      </c>
      <c r="I95" s="28">
        <v>43</v>
      </c>
      <c r="J95" s="136">
        <v>58</v>
      </c>
      <c r="K95" s="27">
        <v>200</v>
      </c>
      <c r="L95" s="28">
        <v>1450</v>
      </c>
      <c r="M95" s="38" t="s">
        <v>1429</v>
      </c>
      <c r="N95" s="302"/>
      <c r="P95" s="137"/>
    </row>
    <row r="96" spans="4:16" ht="15.75" thickBot="1">
      <c r="D96" s="2"/>
      <c r="E96" s="135" t="s">
        <v>1509</v>
      </c>
      <c r="F96" s="14">
        <v>90</v>
      </c>
      <c r="G96" s="15">
        <v>125</v>
      </c>
      <c r="H96" s="14">
        <v>600</v>
      </c>
      <c r="I96" s="28">
        <v>30</v>
      </c>
      <c r="J96" s="136">
        <v>44</v>
      </c>
      <c r="K96" s="27">
        <v>250</v>
      </c>
      <c r="L96" s="28">
        <v>1450</v>
      </c>
      <c r="M96" s="38" t="s">
        <v>1429</v>
      </c>
      <c r="N96" s="302"/>
      <c r="P96" s="137"/>
    </row>
    <row r="97" spans="4:16" ht="15.75" thickBot="1">
      <c r="D97" s="2"/>
      <c r="E97" s="135" t="s">
        <v>1510</v>
      </c>
      <c r="F97" s="14">
        <v>90</v>
      </c>
      <c r="G97" s="15">
        <v>125</v>
      </c>
      <c r="H97" s="14">
        <v>800</v>
      </c>
      <c r="I97" s="28">
        <v>25</v>
      </c>
      <c r="J97" s="136">
        <v>44</v>
      </c>
      <c r="K97" s="27">
        <v>300</v>
      </c>
      <c r="L97" s="28">
        <v>1450</v>
      </c>
      <c r="M97" s="38" t="s">
        <v>1429</v>
      </c>
      <c r="N97" s="302"/>
      <c r="P97" s="137"/>
    </row>
    <row r="98" spans="4:16" ht="15.75" thickBot="1">
      <c r="D98" s="2"/>
      <c r="E98" s="135" t="s">
        <v>1511</v>
      </c>
      <c r="F98" s="14">
        <v>110</v>
      </c>
      <c r="G98" s="15">
        <v>150</v>
      </c>
      <c r="H98" s="14">
        <v>180</v>
      </c>
      <c r="I98" s="28">
        <v>70</v>
      </c>
      <c r="J98" s="136">
        <v>78</v>
      </c>
      <c r="K98" s="27">
        <v>150</v>
      </c>
      <c r="L98" s="28">
        <v>1450</v>
      </c>
      <c r="M98" s="38" t="s">
        <v>1429</v>
      </c>
      <c r="N98" s="302"/>
      <c r="P98" s="137"/>
    </row>
    <row r="99" spans="4:16" ht="15.75" thickBot="1">
      <c r="D99" s="2"/>
      <c r="E99" s="135" t="s">
        <v>1512</v>
      </c>
      <c r="F99" s="14">
        <v>110</v>
      </c>
      <c r="G99" s="15">
        <v>150</v>
      </c>
      <c r="H99" s="14">
        <v>300</v>
      </c>
      <c r="I99" s="28">
        <v>55</v>
      </c>
      <c r="J99" s="136">
        <v>66</v>
      </c>
      <c r="K99" s="27">
        <v>200</v>
      </c>
      <c r="L99" s="28">
        <v>1450</v>
      </c>
      <c r="M99" s="38" t="s">
        <v>1429</v>
      </c>
      <c r="N99" s="302"/>
      <c r="P99" s="137"/>
    </row>
    <row r="100" spans="4:16" ht="15.75" thickBot="1">
      <c r="D100" s="2"/>
      <c r="E100" s="135" t="s">
        <v>1513</v>
      </c>
      <c r="F100" s="14">
        <v>110</v>
      </c>
      <c r="G100" s="15">
        <v>150</v>
      </c>
      <c r="H100" s="14">
        <v>600</v>
      </c>
      <c r="I100" s="28">
        <v>40</v>
      </c>
      <c r="J100" s="136">
        <v>52</v>
      </c>
      <c r="K100" s="27">
        <v>250</v>
      </c>
      <c r="L100" s="28">
        <v>1450</v>
      </c>
      <c r="M100" s="38" t="s">
        <v>1429</v>
      </c>
      <c r="N100" s="302"/>
      <c r="P100" s="137"/>
    </row>
    <row r="101" spans="4:16" ht="15.75" thickBot="1">
      <c r="D101" s="2"/>
      <c r="E101" s="135" t="s">
        <v>1514</v>
      </c>
      <c r="F101" s="14">
        <v>110</v>
      </c>
      <c r="G101" s="15">
        <v>150</v>
      </c>
      <c r="H101" s="14">
        <v>900</v>
      </c>
      <c r="I101" s="28">
        <v>30</v>
      </c>
      <c r="J101" s="136">
        <v>52</v>
      </c>
      <c r="K101" s="27">
        <v>300</v>
      </c>
      <c r="L101" s="28">
        <v>1450</v>
      </c>
      <c r="M101" s="38" t="s">
        <v>1429</v>
      </c>
      <c r="N101" s="303"/>
      <c r="P101" s="137"/>
    </row>
    <row r="102" spans="4:16" ht="23.25" thickBot="1">
      <c r="D102" s="7"/>
      <c r="E102" s="63"/>
      <c r="F102" s="63"/>
      <c r="G102" s="63"/>
      <c r="H102" s="63"/>
      <c r="I102" s="63"/>
      <c r="J102" s="63"/>
      <c r="K102" s="63"/>
      <c r="L102" s="1"/>
      <c r="M102" s="63"/>
      <c r="N102" s="63"/>
    </row>
    <row r="103" spans="4:16" ht="15">
      <c r="E103" s="44" t="s">
        <v>1375</v>
      </c>
      <c r="F103" s="45" t="s">
        <v>2983</v>
      </c>
      <c r="G103" s="46"/>
      <c r="H103" s="51"/>
      <c r="I103" s="51"/>
      <c r="J103" s="51"/>
      <c r="K103" s="51"/>
      <c r="L103" s="51"/>
      <c r="M103" s="51"/>
      <c r="N103" s="51"/>
    </row>
    <row r="104" spans="4:16" ht="15">
      <c r="E104" s="47" t="s">
        <v>1374</v>
      </c>
      <c r="F104" s="48" t="s">
        <v>1384</v>
      </c>
      <c r="G104" s="49"/>
      <c r="H104" s="52"/>
      <c r="I104" s="52"/>
      <c r="J104" s="52"/>
      <c r="K104" s="52"/>
      <c r="L104" s="52"/>
      <c r="M104" s="52"/>
      <c r="N104" s="52"/>
    </row>
    <row r="105" spans="4:16" ht="15">
      <c r="E105" s="47" t="s">
        <v>1389</v>
      </c>
      <c r="F105" s="48" t="s">
        <v>1516</v>
      </c>
      <c r="G105" s="49"/>
      <c r="H105" s="52"/>
      <c r="I105" s="52"/>
      <c r="J105" s="52"/>
      <c r="K105" s="52"/>
      <c r="L105" s="52"/>
      <c r="M105" s="52"/>
      <c r="N105" s="52"/>
    </row>
    <row r="106" spans="4:16" ht="37.5" customHeight="1">
      <c r="D106" s="54"/>
      <c r="E106" s="60" t="s">
        <v>1517</v>
      </c>
      <c r="F106" s="271" t="s">
        <v>2599</v>
      </c>
      <c r="G106" s="272"/>
      <c r="H106" s="272"/>
      <c r="I106" s="272"/>
      <c r="J106" s="272"/>
      <c r="K106" s="272"/>
      <c r="L106" s="272"/>
      <c r="M106" s="272"/>
      <c r="N106" s="272"/>
    </row>
    <row r="107" spans="4:16" ht="15">
      <c r="E107" s="60" t="s">
        <v>1393</v>
      </c>
      <c r="F107" s="56" t="s">
        <v>1518</v>
      </c>
      <c r="G107" s="57"/>
      <c r="H107" s="58"/>
      <c r="I107" s="58"/>
      <c r="J107" s="58"/>
      <c r="K107" s="58"/>
      <c r="L107" s="58"/>
      <c r="M107" s="58"/>
      <c r="N107" s="58"/>
    </row>
  </sheetData>
  <mergeCells count="5">
    <mergeCell ref="E13:E14"/>
    <mergeCell ref="F13:G14"/>
    <mergeCell ref="H13:J13"/>
    <mergeCell ref="N71:N101"/>
    <mergeCell ref="F106:N10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2">
    <tabColor theme="7" tint="0.39997558519241921"/>
  </sheetPr>
  <dimension ref="B3:M41"/>
  <sheetViews>
    <sheetView workbookViewId="0"/>
  </sheetViews>
  <sheetFormatPr defaultRowHeight="14.25"/>
  <cols>
    <col min="1" max="1" width="40.75" customWidth="1"/>
    <col min="2" max="2" width="28.125" customWidth="1"/>
    <col min="3" max="3" width="13.875" customWidth="1"/>
    <col min="4" max="4" width="13.25" customWidth="1"/>
    <col min="5" max="5" width="13.625" customWidth="1"/>
    <col min="6" max="6" width="14.375" customWidth="1"/>
  </cols>
  <sheetData>
    <row r="3" spans="2:13" ht="25.5">
      <c r="B3" s="94" t="s">
        <v>2613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90" t="s">
        <v>1261</v>
      </c>
      <c r="C5" s="310" t="s">
        <v>1264</v>
      </c>
      <c r="D5" s="311"/>
      <c r="E5" s="312"/>
      <c r="F5" s="312"/>
      <c r="G5" s="82"/>
      <c r="H5" s="33"/>
      <c r="I5" s="33"/>
      <c r="J5" s="33"/>
      <c r="K5" s="33"/>
      <c r="L5" s="310"/>
      <c r="M5" s="311"/>
    </row>
    <row r="6" spans="2:13" ht="15.75" thickBot="1">
      <c r="B6" s="264"/>
      <c r="C6" s="311"/>
      <c r="D6" s="311"/>
      <c r="E6" s="82"/>
      <c r="F6" s="33"/>
      <c r="G6" s="33"/>
      <c r="H6" s="33"/>
      <c r="I6" s="33"/>
      <c r="J6" s="33"/>
      <c r="K6" s="33"/>
      <c r="L6" s="313"/>
      <c r="M6" s="311"/>
    </row>
    <row r="7" spans="2:13" ht="15.75" thickBot="1">
      <c r="B7" s="71"/>
      <c r="C7" s="232" t="s">
        <v>1262</v>
      </c>
      <c r="D7" s="232" t="s">
        <v>1263</v>
      </c>
      <c r="E7" s="233" t="s">
        <v>1372</v>
      </c>
      <c r="F7" s="83"/>
      <c r="G7" s="33"/>
      <c r="H7" s="33"/>
      <c r="I7" s="33"/>
      <c r="J7" s="33"/>
      <c r="K7" s="33"/>
      <c r="L7" s="16"/>
      <c r="M7" s="16"/>
    </row>
    <row r="8" spans="2:13" ht="15.75" thickBot="1">
      <c r="B8" s="71">
        <v>40</v>
      </c>
      <c r="C8" s="234"/>
      <c r="D8" s="234"/>
      <c r="E8" s="234">
        <v>90.320999999999998</v>
      </c>
      <c r="F8" s="83"/>
      <c r="G8" s="33"/>
      <c r="H8" s="33"/>
      <c r="I8" s="33"/>
      <c r="J8" s="33"/>
      <c r="K8" s="33"/>
      <c r="L8" s="16"/>
      <c r="M8" s="16"/>
    </row>
    <row r="9" spans="2:13" ht="15" thickBot="1">
      <c r="B9" s="87">
        <v>50</v>
      </c>
      <c r="C9" s="235">
        <v>389.84399999999999</v>
      </c>
      <c r="D9" s="235">
        <v>469.09800000000001</v>
      </c>
      <c r="E9" s="235">
        <v>111.027</v>
      </c>
      <c r="F9" s="83"/>
      <c r="G9" s="33"/>
      <c r="H9" s="33"/>
      <c r="I9" s="84"/>
      <c r="J9" s="84"/>
      <c r="K9" s="85"/>
      <c r="L9" s="86"/>
      <c r="M9" s="86"/>
    </row>
    <row r="10" spans="2:13" ht="15" thickBot="1">
      <c r="B10" s="87">
        <v>65</v>
      </c>
      <c r="C10" s="235">
        <v>652.95299999999997</v>
      </c>
      <c r="D10" s="235">
        <v>779.68799999999999</v>
      </c>
      <c r="E10" s="235">
        <v>161.00700000000001</v>
      </c>
      <c r="F10" s="83"/>
      <c r="G10" s="33"/>
      <c r="H10" s="33"/>
      <c r="I10" s="84"/>
      <c r="J10" s="84"/>
      <c r="K10" s="85"/>
      <c r="L10" s="86"/>
      <c r="M10" s="86"/>
    </row>
    <row r="11" spans="2:13" ht="15" thickBot="1">
      <c r="B11" s="87">
        <v>80</v>
      </c>
      <c r="C11" s="235">
        <v>1058.8619999999999</v>
      </c>
      <c r="D11" s="235">
        <v>1271.2769999999998</v>
      </c>
      <c r="E11" s="235">
        <v>215.98500000000001</v>
      </c>
      <c r="F11" s="83"/>
      <c r="G11" s="33"/>
      <c r="H11" s="33"/>
      <c r="I11" s="84"/>
      <c r="J11" s="84"/>
      <c r="K11" s="85"/>
      <c r="L11" s="86"/>
      <c r="M11" s="86"/>
    </row>
    <row r="12" spans="2:13" ht="15" thickBot="1">
      <c r="B12" s="87">
        <v>100</v>
      </c>
      <c r="C12" s="235">
        <v>1534.386</v>
      </c>
      <c r="D12" s="235">
        <v>1841.7630000000001</v>
      </c>
      <c r="E12" s="235">
        <v>279.17399999999998</v>
      </c>
      <c r="F12" s="83"/>
      <c r="G12" s="33"/>
      <c r="H12" s="33"/>
      <c r="I12" s="84"/>
      <c r="J12" s="84"/>
      <c r="K12" s="85"/>
      <c r="L12" s="86"/>
      <c r="M12" s="86"/>
    </row>
    <row r="13" spans="2:13" ht="15" thickBot="1">
      <c r="B13" s="87">
        <v>150</v>
      </c>
      <c r="C13" s="235">
        <v>2510.7810000000004</v>
      </c>
      <c r="D13" s="235">
        <v>3011.652</v>
      </c>
      <c r="E13" s="235">
        <v>707.93099999999993</v>
      </c>
      <c r="F13" s="83"/>
      <c r="G13" s="33"/>
      <c r="H13" s="33"/>
      <c r="I13" s="84"/>
      <c r="J13" s="84"/>
      <c r="K13" s="85"/>
      <c r="L13" s="86"/>
      <c r="M13" s="86"/>
    </row>
    <row r="14" spans="2:13" ht="15" thickBot="1">
      <c r="B14" s="87">
        <v>200</v>
      </c>
      <c r="C14" s="235">
        <v>3544.2960000000003</v>
      </c>
      <c r="D14" s="235">
        <v>4241.5170000000007</v>
      </c>
      <c r="E14" s="235">
        <v>883.57500000000005</v>
      </c>
      <c r="F14" s="83"/>
      <c r="G14" s="33"/>
      <c r="H14" s="33"/>
      <c r="I14" s="84"/>
      <c r="J14" s="84"/>
      <c r="K14" s="85"/>
      <c r="L14" s="86"/>
      <c r="M14" s="86"/>
    </row>
    <row r="15" spans="2:13" ht="15" thickBot="1">
      <c r="B15" s="87">
        <v>250</v>
      </c>
      <c r="C15" s="304" t="s">
        <v>1265</v>
      </c>
      <c r="D15" s="305"/>
      <c r="E15" s="73">
        <v>1434.069</v>
      </c>
      <c r="F15" s="83"/>
      <c r="G15" s="33"/>
      <c r="H15" s="33"/>
    </row>
    <row r="16" spans="2:13" ht="15" thickBot="1">
      <c r="B16" s="87">
        <v>300</v>
      </c>
      <c r="C16" s="304"/>
      <c r="D16" s="305"/>
      <c r="E16" s="73">
        <v>2194.1219999999998</v>
      </c>
      <c r="F16" s="83"/>
      <c r="G16" s="33"/>
      <c r="H16" s="33"/>
    </row>
    <row r="17" spans="2:13" ht="15" thickBot="1">
      <c r="B17" s="87">
        <v>350</v>
      </c>
      <c r="C17" s="304"/>
      <c r="D17" s="305"/>
      <c r="E17" s="73">
        <v>2990.5889999999999</v>
      </c>
      <c r="F17" s="83"/>
      <c r="G17" s="33"/>
      <c r="H17" s="33"/>
    </row>
    <row r="18" spans="2:13" ht="15" thickBot="1">
      <c r="B18" s="87">
        <v>400</v>
      </c>
      <c r="C18" s="306"/>
      <c r="D18" s="307"/>
      <c r="E18" s="73">
        <v>3766.35</v>
      </c>
      <c r="F18" s="83"/>
      <c r="G18" s="33"/>
      <c r="H18" s="33"/>
    </row>
    <row r="19" spans="2:13" ht="15" thickBot="1">
      <c r="B19" s="87">
        <v>500</v>
      </c>
      <c r="C19" s="306"/>
      <c r="D19" s="307"/>
      <c r="E19" s="73">
        <v>5442.1080000000002</v>
      </c>
      <c r="F19" s="83"/>
      <c r="G19" s="33"/>
      <c r="H19" s="33"/>
    </row>
    <row r="20" spans="2:13" ht="15" thickBot="1">
      <c r="B20" s="87">
        <v>600</v>
      </c>
      <c r="C20" s="308"/>
      <c r="D20" s="309"/>
      <c r="E20" s="73">
        <v>8716.8690000000006</v>
      </c>
      <c r="F20" s="83"/>
      <c r="G20" s="33"/>
      <c r="H20" s="33"/>
    </row>
    <row r="25" spans="2:13" ht="8.25" customHeight="1"/>
    <row r="26" spans="2:13" hidden="1"/>
    <row r="27" spans="2:13" hidden="1"/>
    <row r="28" spans="2:13" hidden="1"/>
    <row r="29" spans="2:13" hidden="1"/>
    <row r="30" spans="2:13" ht="25.5">
      <c r="B30" s="94" t="s">
        <v>2612</v>
      </c>
      <c r="C30" s="161"/>
      <c r="D30" s="161"/>
      <c r="E30" s="161"/>
      <c r="F30" s="161"/>
      <c r="G30" s="161"/>
      <c r="H30" s="17"/>
      <c r="I30" s="161"/>
      <c r="J30" s="29"/>
      <c r="K30" s="29"/>
      <c r="L30" s="161"/>
      <c r="M30" s="161"/>
    </row>
    <row r="32" spans="2:13" ht="48.75" customHeight="1">
      <c r="B32" s="163" t="s">
        <v>2602</v>
      </c>
      <c r="C32" s="163" t="s">
        <v>1372</v>
      </c>
      <c r="D32" s="162"/>
    </row>
    <row r="33" spans="2:6">
      <c r="B33" s="163" t="s">
        <v>2603</v>
      </c>
      <c r="C33" s="78">
        <v>24.632999999999999</v>
      </c>
      <c r="D33" s="162"/>
      <c r="E33" s="64"/>
      <c r="F33" s="137"/>
    </row>
    <row r="34" spans="2:6">
      <c r="B34" s="163" t="s">
        <v>2604</v>
      </c>
      <c r="C34" s="78">
        <v>37.128</v>
      </c>
      <c r="D34" s="162"/>
      <c r="E34" s="64"/>
      <c r="F34" s="137"/>
    </row>
    <row r="35" spans="2:6">
      <c r="B35" s="163" t="s">
        <v>2605</v>
      </c>
      <c r="C35" s="78">
        <v>47.124000000000002</v>
      </c>
      <c r="D35" s="162"/>
      <c r="E35" s="64"/>
      <c r="F35" s="137"/>
    </row>
    <row r="36" spans="2:6">
      <c r="B36" s="163" t="s">
        <v>2606</v>
      </c>
      <c r="C36" s="78">
        <v>64.974000000000004</v>
      </c>
      <c r="D36" s="162"/>
      <c r="E36" s="64"/>
      <c r="F36" s="137"/>
    </row>
    <row r="37" spans="2:6">
      <c r="B37" s="163" t="s">
        <v>2607</v>
      </c>
      <c r="C37" s="78">
        <v>111.384</v>
      </c>
      <c r="D37" s="162"/>
      <c r="E37" s="64"/>
      <c r="F37" s="137"/>
    </row>
    <row r="38" spans="2:6">
      <c r="B38" s="163" t="s">
        <v>2608</v>
      </c>
      <c r="C38" s="78">
        <v>190.995</v>
      </c>
      <c r="D38" s="162"/>
      <c r="E38" s="64"/>
      <c r="F38" s="137"/>
    </row>
    <row r="39" spans="2:6">
      <c r="B39" s="163" t="s">
        <v>2609</v>
      </c>
      <c r="C39" s="78">
        <v>281.16299999999995</v>
      </c>
      <c r="D39" s="162"/>
      <c r="E39" s="64"/>
      <c r="F39" s="137"/>
    </row>
    <row r="40" spans="2:6">
      <c r="B40" s="163" t="s">
        <v>2610</v>
      </c>
      <c r="C40" s="78">
        <v>633.67499999999995</v>
      </c>
      <c r="D40" s="162"/>
      <c r="E40" s="64"/>
      <c r="F40" s="137"/>
    </row>
    <row r="41" spans="2:6">
      <c r="B41" s="163" t="s">
        <v>2611</v>
      </c>
      <c r="C41" s="78">
        <v>883.93200000000002</v>
      </c>
      <c r="D41" s="162"/>
      <c r="E41" s="64"/>
      <c r="F41" s="137"/>
    </row>
  </sheetData>
  <mergeCells count="6">
    <mergeCell ref="C15:D20"/>
    <mergeCell ref="B5:B6"/>
    <mergeCell ref="C5:D6"/>
    <mergeCell ref="E5:F5"/>
    <mergeCell ref="L5:M5"/>
    <mergeCell ref="L6:M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3">
    <tabColor theme="9" tint="0.39997558519241921"/>
  </sheetPr>
  <dimension ref="B3:M32"/>
  <sheetViews>
    <sheetView zoomScaleNormal="100" workbookViewId="0">
      <selection activeCell="I36" sqref="I36"/>
    </sheetView>
  </sheetViews>
  <sheetFormatPr defaultRowHeight="14.25"/>
  <cols>
    <col min="1" max="1" width="35.375" customWidth="1"/>
    <col min="2" max="2" width="22.625" customWidth="1"/>
    <col min="12" max="12" width="11.75" customWidth="1"/>
    <col min="13" max="13" width="11.875" customWidth="1"/>
  </cols>
  <sheetData>
    <row r="3" spans="2:13" ht="25.5">
      <c r="B3" s="53" t="s">
        <v>899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3" t="s">
        <v>0</v>
      </c>
      <c r="C5" s="255" t="s">
        <v>1</v>
      </c>
      <c r="D5" s="253"/>
      <c r="E5" s="265" t="s">
        <v>2</v>
      </c>
      <c r="F5" s="265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9" t="s">
        <v>8</v>
      </c>
      <c r="M5" s="255"/>
    </row>
    <row r="6" spans="2:13" ht="15">
      <c r="B6" s="254"/>
      <c r="C6" s="256"/>
      <c r="D6" s="254"/>
      <c r="E6" s="20" t="s">
        <v>9</v>
      </c>
      <c r="F6" s="10" t="s">
        <v>10</v>
      </c>
      <c r="G6" s="21"/>
      <c r="H6" s="22"/>
      <c r="I6" s="32"/>
      <c r="J6" s="33"/>
      <c r="K6" s="33"/>
      <c r="L6" s="260" t="s">
        <v>11</v>
      </c>
      <c r="M6" s="261"/>
    </row>
    <row r="7" spans="2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2:13" ht="15" thickBot="1">
      <c r="B8" s="13" t="s">
        <v>900</v>
      </c>
      <c r="C8" s="14">
        <v>1.5</v>
      </c>
      <c r="D8" s="15">
        <v>2</v>
      </c>
      <c r="E8" s="14">
        <v>15</v>
      </c>
      <c r="F8" s="15">
        <v>14.5</v>
      </c>
      <c r="G8" s="27">
        <v>50</v>
      </c>
      <c r="H8" s="28">
        <v>2900</v>
      </c>
      <c r="I8" s="38" t="s">
        <v>897</v>
      </c>
      <c r="J8" s="39">
        <v>41</v>
      </c>
      <c r="K8" s="40">
        <f>0.61*0.265*0.265</f>
        <v>4.2837250000000007E-2</v>
      </c>
      <c r="L8" s="78">
        <v>912.49200000000008</v>
      </c>
      <c r="M8" s="78">
        <v>852.87300000000005</v>
      </c>
    </row>
    <row r="9" spans="2:13" ht="15" thickBot="1">
      <c r="B9" s="13" t="s">
        <v>901</v>
      </c>
      <c r="C9" s="14">
        <v>2.2000000000000002</v>
      </c>
      <c r="D9" s="15">
        <v>3</v>
      </c>
      <c r="E9" s="14">
        <v>18</v>
      </c>
      <c r="F9" s="15">
        <v>19.5</v>
      </c>
      <c r="G9" s="27">
        <v>50</v>
      </c>
      <c r="H9" s="28">
        <v>2900</v>
      </c>
      <c r="I9" s="38" t="s">
        <v>897</v>
      </c>
      <c r="J9" s="39">
        <v>44</v>
      </c>
      <c r="K9" s="40">
        <f>0.61*0.265*0.265</f>
        <v>4.2837250000000007E-2</v>
      </c>
      <c r="L9" s="314"/>
      <c r="M9" s="78">
        <v>946.05000000000007</v>
      </c>
    </row>
    <row r="10" spans="2:13" ht="15" thickBot="1">
      <c r="B10" s="13" t="s">
        <v>902</v>
      </c>
      <c r="C10" s="14">
        <v>3.7</v>
      </c>
      <c r="D10" s="15">
        <v>5</v>
      </c>
      <c r="E10" s="14">
        <v>30</v>
      </c>
      <c r="F10" s="15">
        <v>20.5</v>
      </c>
      <c r="G10" s="27">
        <v>80</v>
      </c>
      <c r="H10" s="28">
        <v>2900</v>
      </c>
      <c r="I10" s="38" t="s">
        <v>897</v>
      </c>
      <c r="J10" s="39">
        <v>69</v>
      </c>
      <c r="K10" s="40">
        <f>0.71*0.32*0.295</f>
        <v>6.7023999999999986E-2</v>
      </c>
      <c r="L10" s="314"/>
      <c r="M10" s="78">
        <v>1522.2479999999998</v>
      </c>
    </row>
    <row r="11" spans="2:13" ht="15" thickBot="1">
      <c r="B11" s="13" t="s">
        <v>903</v>
      </c>
      <c r="C11" s="14">
        <v>3.7</v>
      </c>
      <c r="D11" s="15">
        <v>5</v>
      </c>
      <c r="E11" s="14">
        <v>60</v>
      </c>
      <c r="F11" s="15">
        <v>11</v>
      </c>
      <c r="G11" s="27">
        <v>100</v>
      </c>
      <c r="H11" s="28">
        <v>2900</v>
      </c>
      <c r="I11" s="38" t="s">
        <v>897</v>
      </c>
      <c r="J11" s="39">
        <v>70</v>
      </c>
      <c r="K11" s="40">
        <f>0.71*0.32*0.295</f>
        <v>6.7023999999999986E-2</v>
      </c>
      <c r="L11" s="314"/>
      <c r="M11" s="78">
        <v>1562.5890000000002</v>
      </c>
    </row>
    <row r="12" spans="2:13" ht="23.25" thickBot="1">
      <c r="B12" s="8"/>
      <c r="C12" s="8"/>
      <c r="D12" s="8"/>
      <c r="E12" s="8"/>
      <c r="F12" s="8"/>
      <c r="G12" s="8"/>
      <c r="H12" s="1"/>
      <c r="I12" s="8"/>
      <c r="J12" s="1"/>
      <c r="K12" s="1"/>
      <c r="L12" s="8"/>
      <c r="M12" s="8"/>
    </row>
    <row r="13" spans="2:13" ht="15">
      <c r="B13" s="44" t="s">
        <v>1375</v>
      </c>
      <c r="C13" s="45" t="s">
        <v>2983</v>
      </c>
      <c r="D13" s="46"/>
      <c r="E13" s="51"/>
      <c r="F13" s="51"/>
      <c r="G13" s="51"/>
      <c r="H13" s="51"/>
      <c r="I13" s="51"/>
      <c r="J13" s="51"/>
      <c r="K13" s="51"/>
      <c r="L13" s="51"/>
      <c r="M13" s="51"/>
    </row>
    <row r="14" spans="2:13" ht="15">
      <c r="B14" s="47" t="s">
        <v>1374</v>
      </c>
      <c r="C14" s="48" t="s">
        <v>2986</v>
      </c>
      <c r="D14" s="49"/>
      <c r="E14" s="52"/>
      <c r="F14" s="52"/>
      <c r="G14" s="52"/>
      <c r="H14" s="52"/>
      <c r="I14" s="52"/>
      <c r="J14" s="52"/>
      <c r="K14" s="52"/>
      <c r="L14" s="52"/>
      <c r="M14" s="52"/>
    </row>
    <row r="15" spans="2:13" ht="15">
      <c r="B15" s="47" t="s">
        <v>1385</v>
      </c>
      <c r="C15" s="48" t="s">
        <v>2720</v>
      </c>
      <c r="D15" s="49"/>
      <c r="E15" s="52"/>
      <c r="F15" s="52"/>
      <c r="G15" s="52"/>
      <c r="H15" s="52"/>
      <c r="I15" s="52"/>
      <c r="J15" s="52"/>
      <c r="K15" s="52"/>
      <c r="L15" s="52"/>
      <c r="M15" s="52"/>
    </row>
    <row r="16" spans="2:13" ht="42.75">
      <c r="B16" s="245" t="s">
        <v>2984</v>
      </c>
      <c r="C16" s="56" t="s">
        <v>2985</v>
      </c>
      <c r="D16" s="57"/>
      <c r="E16" s="58"/>
      <c r="F16" s="58"/>
      <c r="G16" s="58"/>
      <c r="H16" s="58"/>
      <c r="I16" s="58"/>
      <c r="J16" s="58"/>
      <c r="K16" s="58"/>
      <c r="L16" s="58"/>
      <c r="M16" s="58"/>
    </row>
    <row r="17" spans="2:13"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2:13" ht="25.5">
      <c r="B18" s="53" t="s">
        <v>904</v>
      </c>
      <c r="C18" s="6"/>
      <c r="D18" s="6"/>
      <c r="E18" s="6"/>
      <c r="F18" s="6"/>
      <c r="G18" s="6"/>
      <c r="H18" s="17"/>
      <c r="I18" s="6"/>
      <c r="J18" s="29"/>
      <c r="K18" s="29"/>
      <c r="L18" s="6"/>
      <c r="M18" s="6"/>
    </row>
    <row r="19" spans="2:13" ht="23.25" thickBot="1">
      <c r="B19" s="8"/>
      <c r="C19" s="8"/>
      <c r="D19" s="8"/>
      <c r="E19" s="8"/>
      <c r="F19" s="8"/>
      <c r="G19" s="8"/>
      <c r="H19" s="1"/>
      <c r="I19" s="8"/>
      <c r="J19" s="1"/>
      <c r="K19" s="1"/>
      <c r="L19" s="8"/>
      <c r="M19" s="8"/>
    </row>
    <row r="20" spans="2:13">
      <c r="B20" s="253" t="s">
        <v>0</v>
      </c>
      <c r="C20" s="255" t="s">
        <v>1</v>
      </c>
      <c r="D20" s="253"/>
      <c r="E20" s="265" t="s">
        <v>2</v>
      </c>
      <c r="F20" s="265"/>
      <c r="G20" s="18" t="s">
        <v>3</v>
      </c>
      <c r="H20" s="19" t="s">
        <v>4</v>
      </c>
      <c r="I20" s="30" t="s">
        <v>5</v>
      </c>
      <c r="J20" s="31" t="s">
        <v>6</v>
      </c>
      <c r="K20" s="31" t="s">
        <v>7</v>
      </c>
      <c r="L20" s="259" t="s">
        <v>8</v>
      </c>
      <c r="M20" s="255"/>
    </row>
    <row r="21" spans="2:13" ht="15">
      <c r="B21" s="254"/>
      <c r="C21" s="256"/>
      <c r="D21" s="254"/>
      <c r="E21" s="20" t="s">
        <v>9</v>
      </c>
      <c r="F21" s="10" t="s">
        <v>10</v>
      </c>
      <c r="G21" s="21"/>
      <c r="H21" s="22"/>
      <c r="I21" s="32"/>
      <c r="J21" s="33"/>
      <c r="K21" s="33"/>
      <c r="L21" s="260" t="s">
        <v>11</v>
      </c>
      <c r="M21" s="261"/>
    </row>
    <row r="22" spans="2:13" ht="15.75" thickBot="1">
      <c r="B22" s="11"/>
      <c r="C22" s="12" t="s">
        <v>12</v>
      </c>
      <c r="D22" s="11" t="s">
        <v>13</v>
      </c>
      <c r="E22" s="23" t="s">
        <v>14</v>
      </c>
      <c r="F22" s="24" t="s">
        <v>15</v>
      </c>
      <c r="G22" s="25" t="s">
        <v>16</v>
      </c>
      <c r="H22" s="26" t="s">
        <v>17</v>
      </c>
      <c r="I22" s="34"/>
      <c r="J22" s="35" t="s">
        <v>18</v>
      </c>
      <c r="K22" s="36" t="s">
        <v>19</v>
      </c>
      <c r="L22" s="37" t="s">
        <v>486</v>
      </c>
      <c r="M22" s="43" t="s">
        <v>487</v>
      </c>
    </row>
    <row r="23" spans="2:13" ht="15" thickBot="1">
      <c r="B23" s="13" t="s">
        <v>905</v>
      </c>
      <c r="C23" s="14">
        <v>4</v>
      </c>
      <c r="D23" s="15">
        <v>5.5</v>
      </c>
      <c r="E23" s="14">
        <v>60</v>
      </c>
      <c r="F23" s="15">
        <v>10</v>
      </c>
      <c r="G23" s="27">
        <v>80</v>
      </c>
      <c r="H23" s="28">
        <v>1450</v>
      </c>
      <c r="I23" s="38" t="s">
        <v>897</v>
      </c>
      <c r="J23" s="39">
        <v>119</v>
      </c>
      <c r="K23" s="40">
        <f>0.885*0.385*0.395</f>
        <v>0.13458637500000001</v>
      </c>
      <c r="L23" s="315"/>
      <c r="M23" s="78">
        <v>2813.8740000000003</v>
      </c>
    </row>
    <row r="24" spans="2:13" ht="15" thickBot="1">
      <c r="B24" s="13" t="s">
        <v>906</v>
      </c>
      <c r="C24" s="14">
        <v>6</v>
      </c>
      <c r="D24" s="15">
        <v>8</v>
      </c>
      <c r="E24" s="14">
        <v>90</v>
      </c>
      <c r="F24" s="15">
        <v>10</v>
      </c>
      <c r="G24" s="27">
        <v>100</v>
      </c>
      <c r="H24" s="28">
        <v>1450</v>
      </c>
      <c r="I24" s="38" t="s">
        <v>897</v>
      </c>
      <c r="J24" s="39">
        <v>151</v>
      </c>
      <c r="K24" s="40">
        <f>0.47*0.41*0.985</f>
        <v>0.18980949999999999</v>
      </c>
      <c r="L24" s="316"/>
      <c r="M24" s="78">
        <v>3428.2709999999997</v>
      </c>
    </row>
    <row r="25" spans="2:13" ht="15" thickBot="1">
      <c r="B25" s="13" t="s">
        <v>907</v>
      </c>
      <c r="C25" s="14">
        <v>9</v>
      </c>
      <c r="D25" s="15">
        <v>12</v>
      </c>
      <c r="E25" s="14">
        <v>100</v>
      </c>
      <c r="F25" s="15">
        <v>15</v>
      </c>
      <c r="G25" s="27">
        <v>150</v>
      </c>
      <c r="H25" s="28">
        <v>1450</v>
      </c>
      <c r="I25" s="38" t="s">
        <v>897</v>
      </c>
      <c r="J25" s="39">
        <v>183</v>
      </c>
      <c r="K25" s="40">
        <f>0.47*0.47*1.045</f>
        <v>0.23084049999999998</v>
      </c>
      <c r="L25" s="316"/>
      <c r="M25" s="78">
        <v>3888.4440000000004</v>
      </c>
    </row>
    <row r="26" spans="2:13" ht="15" thickBot="1">
      <c r="B26" s="13" t="s">
        <v>908</v>
      </c>
      <c r="C26" s="14">
        <v>15</v>
      </c>
      <c r="D26" s="15">
        <v>20</v>
      </c>
      <c r="E26" s="14">
        <v>200</v>
      </c>
      <c r="F26" s="15">
        <v>16.2</v>
      </c>
      <c r="G26" s="27">
        <v>200</v>
      </c>
      <c r="H26" s="28">
        <v>1450</v>
      </c>
      <c r="I26" s="38" t="s">
        <v>897</v>
      </c>
      <c r="J26" s="39">
        <v>278</v>
      </c>
      <c r="K26" s="40">
        <f>0.54*0.5*1.22</f>
        <v>0.32940000000000003</v>
      </c>
      <c r="L26" s="316"/>
      <c r="M26" s="78">
        <v>8429.8410000000022</v>
      </c>
    </row>
    <row r="27" spans="2:13" ht="15" thickBot="1">
      <c r="B27" s="13" t="s">
        <v>909</v>
      </c>
      <c r="C27" s="14">
        <v>22</v>
      </c>
      <c r="D27" s="15">
        <v>30</v>
      </c>
      <c r="E27" s="14">
        <v>200</v>
      </c>
      <c r="F27" s="15">
        <v>24</v>
      </c>
      <c r="G27" s="27">
        <v>200</v>
      </c>
      <c r="H27" s="28">
        <v>1450</v>
      </c>
      <c r="I27" s="38" t="s">
        <v>897</v>
      </c>
      <c r="J27" s="39">
        <v>434</v>
      </c>
      <c r="K27" s="40">
        <f>0.74*0.57*1.46</f>
        <v>0.61582799999999993</v>
      </c>
      <c r="L27" s="317"/>
      <c r="M27" s="78">
        <v>9935.31</v>
      </c>
    </row>
    <row r="28" spans="2:13" ht="23.25" thickBot="1">
      <c r="B28" s="8"/>
      <c r="C28" s="8"/>
      <c r="D28" s="8"/>
      <c r="E28" s="8"/>
      <c r="F28" s="8"/>
      <c r="G28" s="8"/>
      <c r="H28" s="1"/>
      <c r="I28" s="8"/>
      <c r="J28" s="1"/>
      <c r="K28" s="1"/>
      <c r="L28" s="8"/>
      <c r="M28" s="8"/>
    </row>
    <row r="29" spans="2:13" ht="15">
      <c r="B29" s="44" t="s">
        <v>1375</v>
      </c>
      <c r="C29" s="45" t="s">
        <v>2983</v>
      </c>
      <c r="D29" s="46"/>
      <c r="E29" s="51"/>
      <c r="F29" s="51"/>
      <c r="G29" s="51"/>
      <c r="H29" s="51"/>
      <c r="I29" s="51"/>
      <c r="J29" s="51"/>
      <c r="K29" s="51"/>
      <c r="L29" s="51"/>
      <c r="M29" s="51"/>
    </row>
    <row r="30" spans="2:13" ht="15">
      <c r="B30" s="47" t="s">
        <v>1374</v>
      </c>
      <c r="C30" s="48" t="s">
        <v>2986</v>
      </c>
      <c r="D30" s="49"/>
      <c r="E30" s="52"/>
      <c r="F30" s="52"/>
      <c r="G30" s="52"/>
      <c r="H30" s="52"/>
      <c r="I30" s="52"/>
      <c r="J30" s="52"/>
      <c r="K30" s="52"/>
      <c r="L30" s="52"/>
      <c r="M30" s="52"/>
    </row>
    <row r="31" spans="2:13" ht="15">
      <c r="B31" s="47" t="s">
        <v>1385</v>
      </c>
      <c r="C31" s="48" t="s">
        <v>2720</v>
      </c>
      <c r="D31" s="49"/>
      <c r="E31" s="52"/>
      <c r="F31" s="52"/>
      <c r="G31" s="52"/>
      <c r="H31" s="52"/>
      <c r="I31" s="52"/>
      <c r="J31" s="52"/>
      <c r="K31" s="52"/>
      <c r="L31" s="52"/>
      <c r="M31" s="52"/>
    </row>
    <row r="32" spans="2:13" ht="42.75">
      <c r="B32" s="245" t="s">
        <v>2984</v>
      </c>
      <c r="C32" s="56" t="s">
        <v>2985</v>
      </c>
      <c r="D32" s="57"/>
      <c r="E32" s="58"/>
      <c r="F32" s="58"/>
      <c r="G32" s="58"/>
      <c r="H32" s="58"/>
      <c r="I32" s="58"/>
      <c r="J32" s="58"/>
      <c r="K32" s="58"/>
      <c r="L32" s="58"/>
      <c r="M32" s="58"/>
    </row>
  </sheetData>
  <mergeCells count="12">
    <mergeCell ref="L20:M20"/>
    <mergeCell ref="L21:M21"/>
    <mergeCell ref="L9:L11"/>
    <mergeCell ref="L23:L27"/>
    <mergeCell ref="B5:B6"/>
    <mergeCell ref="C5:D6"/>
    <mergeCell ref="E5:F5"/>
    <mergeCell ref="L5:M5"/>
    <mergeCell ref="L6:M6"/>
    <mergeCell ref="B20:B21"/>
    <mergeCell ref="C20:D21"/>
    <mergeCell ref="E20:F2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4">
    <tabColor theme="5"/>
  </sheetPr>
  <dimension ref="B3:S103"/>
  <sheetViews>
    <sheetView zoomScale="92" zoomScaleNormal="92" workbookViewId="0">
      <selection activeCell="R48" sqref="R48"/>
    </sheetView>
  </sheetViews>
  <sheetFormatPr defaultRowHeight="14.25"/>
  <cols>
    <col min="1" max="1" width="3.375" customWidth="1"/>
    <col min="2" max="2" width="29.375" customWidth="1"/>
    <col min="3" max="3" width="29.25" customWidth="1"/>
    <col min="14" max="14" width="16.5" customWidth="1"/>
    <col min="15" max="15" width="15.125" customWidth="1"/>
    <col min="19" max="19" width="11.75" customWidth="1"/>
  </cols>
  <sheetData>
    <row r="3" spans="2:15" ht="25.5">
      <c r="B3" s="4"/>
      <c r="C3" s="113" t="s">
        <v>1748</v>
      </c>
      <c r="D3" s="62"/>
      <c r="E3" s="62"/>
      <c r="F3" s="62"/>
      <c r="G3" s="62"/>
      <c r="H3" s="62"/>
      <c r="I3" s="62"/>
      <c r="J3" s="17"/>
      <c r="K3" s="62"/>
      <c r="L3" s="29"/>
      <c r="M3" s="29"/>
      <c r="N3" s="62"/>
      <c r="O3" s="62"/>
    </row>
    <row r="4" spans="2:15" ht="23.25" thickBot="1">
      <c r="B4" s="7"/>
      <c r="C4" s="63"/>
      <c r="D4" s="63"/>
      <c r="E4" s="63"/>
      <c r="F4" s="63"/>
      <c r="G4" s="63"/>
      <c r="H4" s="63"/>
      <c r="I4" s="63"/>
      <c r="J4" s="1"/>
      <c r="K4" s="63"/>
      <c r="L4" s="1"/>
      <c r="M4" s="1"/>
      <c r="N4" s="63"/>
      <c r="O4" s="63"/>
    </row>
    <row r="5" spans="2:15" ht="15">
      <c r="B5" s="3"/>
      <c r="C5" s="253" t="s">
        <v>0</v>
      </c>
      <c r="D5" s="255" t="s">
        <v>1</v>
      </c>
      <c r="E5" s="253"/>
      <c r="F5" s="257" t="s">
        <v>2</v>
      </c>
      <c r="G5" s="258"/>
      <c r="H5" s="258"/>
      <c r="I5" s="18" t="s">
        <v>3</v>
      </c>
      <c r="J5" s="19" t="s">
        <v>4</v>
      </c>
      <c r="K5" s="30" t="s">
        <v>5</v>
      </c>
      <c r="L5" s="31" t="s">
        <v>6</v>
      </c>
      <c r="M5" s="31" t="s">
        <v>7</v>
      </c>
      <c r="N5" s="259" t="s">
        <v>8</v>
      </c>
      <c r="O5" s="255"/>
    </row>
    <row r="6" spans="2:15" ht="15">
      <c r="B6" s="9"/>
      <c r="C6" s="254"/>
      <c r="D6" s="256"/>
      <c r="E6" s="254"/>
      <c r="F6" s="20" t="s">
        <v>9</v>
      </c>
      <c r="G6" s="33" t="s">
        <v>10</v>
      </c>
      <c r="H6" s="10" t="s">
        <v>854</v>
      </c>
      <c r="I6" s="21"/>
      <c r="J6" s="22"/>
      <c r="K6" s="32"/>
      <c r="L6" s="33"/>
      <c r="M6" s="33"/>
      <c r="N6" s="260" t="s">
        <v>11</v>
      </c>
      <c r="O6" s="261"/>
    </row>
    <row r="7" spans="2:15" ht="15.75" thickBot="1">
      <c r="B7" s="3"/>
      <c r="C7" s="11"/>
      <c r="D7" s="12" t="s">
        <v>12</v>
      </c>
      <c r="E7" s="11" t="s">
        <v>13</v>
      </c>
      <c r="F7" s="23" t="s">
        <v>14</v>
      </c>
      <c r="G7" s="133" t="s">
        <v>15</v>
      </c>
      <c r="H7" s="134" t="s">
        <v>15</v>
      </c>
      <c r="I7" s="25" t="s">
        <v>16</v>
      </c>
      <c r="J7" s="26" t="s">
        <v>17</v>
      </c>
      <c r="K7" s="34"/>
      <c r="L7" s="35" t="s">
        <v>18</v>
      </c>
      <c r="M7" s="36" t="s">
        <v>19</v>
      </c>
      <c r="N7" s="37" t="s">
        <v>486</v>
      </c>
      <c r="O7" s="43" t="s">
        <v>487</v>
      </c>
    </row>
    <row r="8" spans="2:15" ht="15.75" thickBot="1">
      <c r="B8" s="2"/>
      <c r="C8" s="13" t="s">
        <v>663</v>
      </c>
      <c r="D8" s="14">
        <v>1.1000000000000001</v>
      </c>
      <c r="E8" s="15">
        <v>1.5</v>
      </c>
      <c r="F8" s="27">
        <v>12</v>
      </c>
      <c r="G8" s="28">
        <v>18.399999999999999</v>
      </c>
      <c r="H8" s="136">
        <v>22.5</v>
      </c>
      <c r="I8" s="27" t="s">
        <v>664</v>
      </c>
      <c r="J8" s="28">
        <v>2900</v>
      </c>
      <c r="K8" s="38" t="s">
        <v>566</v>
      </c>
      <c r="L8" s="39">
        <v>22</v>
      </c>
      <c r="M8" s="42">
        <f>0.43*0.34*0.27</f>
        <v>3.9474000000000002E-2</v>
      </c>
      <c r="N8" s="184">
        <v>640.77930000000003</v>
      </c>
      <c r="O8" s="184">
        <v>609.23835000000008</v>
      </c>
    </row>
    <row r="9" spans="2:15" ht="15.75" thickBot="1">
      <c r="B9" s="2"/>
      <c r="C9" s="13" t="s">
        <v>665</v>
      </c>
      <c r="D9" s="14">
        <v>1.5</v>
      </c>
      <c r="E9" s="15">
        <v>2</v>
      </c>
      <c r="F9" s="27">
        <v>12</v>
      </c>
      <c r="G9" s="28">
        <v>24.5</v>
      </c>
      <c r="H9" s="136">
        <v>29.5</v>
      </c>
      <c r="I9" s="27" t="s">
        <v>664</v>
      </c>
      <c r="J9" s="28">
        <v>2900</v>
      </c>
      <c r="K9" s="38" t="s">
        <v>566</v>
      </c>
      <c r="L9" s="39">
        <v>25</v>
      </c>
      <c r="M9" s="42">
        <f>0.43*0.34*0.27</f>
        <v>3.9474000000000002E-2</v>
      </c>
      <c r="N9" s="184">
        <v>661.36391999999989</v>
      </c>
      <c r="O9" s="184">
        <v>629.82296999999994</v>
      </c>
    </row>
    <row r="10" spans="2:15" ht="15.75" thickBot="1">
      <c r="B10" s="2"/>
      <c r="C10" s="13" t="s">
        <v>666</v>
      </c>
      <c r="D10" s="14">
        <v>2.2000000000000002</v>
      </c>
      <c r="E10" s="15">
        <v>3</v>
      </c>
      <c r="F10" s="27">
        <v>12</v>
      </c>
      <c r="G10" s="28">
        <v>32</v>
      </c>
      <c r="H10" s="136">
        <v>37</v>
      </c>
      <c r="I10" s="27" t="s">
        <v>664</v>
      </c>
      <c r="J10" s="28">
        <v>2900</v>
      </c>
      <c r="K10" s="38" t="s">
        <v>566</v>
      </c>
      <c r="L10" s="39">
        <v>27</v>
      </c>
      <c r="M10" s="42">
        <f>0.43*0.34*0.27</f>
        <v>3.9474000000000002E-2</v>
      </c>
      <c r="N10" s="184">
        <v>745.03044</v>
      </c>
      <c r="O10" s="184">
        <v>709.83738000000005</v>
      </c>
    </row>
    <row r="11" spans="2:15" ht="15.75" thickBot="1">
      <c r="B11" s="2"/>
      <c r="C11" s="13" t="s">
        <v>667</v>
      </c>
      <c r="D11" s="14">
        <v>3</v>
      </c>
      <c r="E11" s="15">
        <v>4</v>
      </c>
      <c r="F11" s="27">
        <v>12</v>
      </c>
      <c r="G11" s="28">
        <v>37.5</v>
      </c>
      <c r="H11" s="136">
        <v>44</v>
      </c>
      <c r="I11" s="27" t="s">
        <v>664</v>
      </c>
      <c r="J11" s="28">
        <v>2900</v>
      </c>
      <c r="K11" s="38" t="s">
        <v>566</v>
      </c>
      <c r="L11" s="39">
        <v>37</v>
      </c>
      <c r="M11" s="42">
        <f t="shared" ref="M11:M17" si="0">0.45*0.39*0.32</f>
        <v>5.6160000000000009E-2</v>
      </c>
      <c r="N11" s="184">
        <v>958.8448800000001</v>
      </c>
      <c r="O11" s="184">
        <v>885.13866000000019</v>
      </c>
    </row>
    <row r="12" spans="2:15" ht="15.75" thickBot="1">
      <c r="B12" s="2"/>
      <c r="C12" s="13" t="s">
        <v>668</v>
      </c>
      <c r="D12" s="14">
        <v>4</v>
      </c>
      <c r="E12" s="15">
        <v>5.5</v>
      </c>
      <c r="F12" s="27">
        <v>18</v>
      </c>
      <c r="G12" s="28">
        <v>43.5</v>
      </c>
      <c r="H12" s="136">
        <v>55</v>
      </c>
      <c r="I12" s="27" t="s">
        <v>664</v>
      </c>
      <c r="J12" s="28">
        <v>2900</v>
      </c>
      <c r="K12" s="38" t="s">
        <v>566</v>
      </c>
      <c r="L12" s="39">
        <v>43</v>
      </c>
      <c r="M12" s="42">
        <f t="shared" si="0"/>
        <v>5.6160000000000009E-2</v>
      </c>
      <c r="N12" s="184"/>
      <c r="O12" s="184">
        <v>1002.00618</v>
      </c>
    </row>
    <row r="13" spans="2:15" ht="15.75" thickBot="1">
      <c r="B13" s="2"/>
      <c r="C13" s="13" t="s">
        <v>669</v>
      </c>
      <c r="D13" s="14">
        <v>5.5</v>
      </c>
      <c r="E13" s="15">
        <v>7.5</v>
      </c>
      <c r="F13" s="27">
        <v>18</v>
      </c>
      <c r="G13" s="28">
        <v>58.5</v>
      </c>
      <c r="H13" s="136">
        <v>70.5</v>
      </c>
      <c r="I13" s="27" t="s">
        <v>664</v>
      </c>
      <c r="J13" s="28">
        <v>2900</v>
      </c>
      <c r="K13" s="38" t="s">
        <v>566</v>
      </c>
      <c r="L13" s="39">
        <v>53</v>
      </c>
      <c r="M13" s="42">
        <f>0.5*0.39*0.32</f>
        <v>6.2400000000000004E-2</v>
      </c>
      <c r="N13" s="184"/>
      <c r="O13" s="184">
        <v>1138.7943</v>
      </c>
    </row>
    <row r="14" spans="2:15" ht="15.75" thickBot="1">
      <c r="B14" s="2"/>
      <c r="C14" s="13" t="s">
        <v>670</v>
      </c>
      <c r="D14" s="14">
        <v>1.5</v>
      </c>
      <c r="E14" s="15">
        <v>2</v>
      </c>
      <c r="F14" s="27">
        <v>20</v>
      </c>
      <c r="G14" s="28">
        <v>17</v>
      </c>
      <c r="H14" s="136">
        <v>20</v>
      </c>
      <c r="I14" s="27" t="s">
        <v>671</v>
      </c>
      <c r="J14" s="28">
        <v>2900</v>
      </c>
      <c r="K14" s="38" t="s">
        <v>566</v>
      </c>
      <c r="L14" s="39">
        <v>23</v>
      </c>
      <c r="M14" s="42">
        <f>0.43*0.34*0.27</f>
        <v>3.9474000000000002E-2</v>
      </c>
      <c r="N14" s="184">
        <v>723.44979000000001</v>
      </c>
      <c r="O14" s="184">
        <v>688.92075</v>
      </c>
    </row>
    <row r="15" spans="2:15" ht="15.75" thickBot="1">
      <c r="B15" s="16" t="s">
        <v>673</v>
      </c>
      <c r="C15" s="13" t="s">
        <v>672</v>
      </c>
      <c r="D15" s="14">
        <v>2.2000000000000002</v>
      </c>
      <c r="E15" s="15">
        <v>3</v>
      </c>
      <c r="F15" s="27">
        <v>20</v>
      </c>
      <c r="G15" s="28">
        <v>23.5</v>
      </c>
      <c r="H15" s="136">
        <v>26.5</v>
      </c>
      <c r="I15" s="27" t="s">
        <v>671</v>
      </c>
      <c r="J15" s="28">
        <v>2900</v>
      </c>
      <c r="K15" s="38" t="s">
        <v>566</v>
      </c>
      <c r="L15" s="39">
        <v>25</v>
      </c>
      <c r="M15" s="42">
        <f>0.43*0.34*0.27</f>
        <v>3.9474000000000002E-2</v>
      </c>
      <c r="N15" s="184">
        <v>815.74857000000009</v>
      </c>
      <c r="O15" s="184">
        <v>776.57139000000006</v>
      </c>
    </row>
    <row r="16" spans="2:15" ht="15.75" thickBot="1">
      <c r="B16" s="2"/>
      <c r="C16" s="13" t="s">
        <v>674</v>
      </c>
      <c r="D16" s="14">
        <v>3</v>
      </c>
      <c r="E16" s="15">
        <v>4</v>
      </c>
      <c r="F16" s="27">
        <v>24</v>
      </c>
      <c r="G16" s="28">
        <v>25.5</v>
      </c>
      <c r="H16" s="136">
        <v>31</v>
      </c>
      <c r="I16" s="27" t="s">
        <v>671</v>
      </c>
      <c r="J16" s="28">
        <v>2900</v>
      </c>
      <c r="K16" s="38" t="s">
        <v>566</v>
      </c>
      <c r="L16" s="39">
        <v>32</v>
      </c>
      <c r="M16" s="42">
        <f t="shared" si="0"/>
        <v>5.6160000000000009E-2</v>
      </c>
      <c r="N16" s="184">
        <v>971.79327000000012</v>
      </c>
      <c r="O16" s="184">
        <v>894.10293000000013</v>
      </c>
    </row>
    <row r="17" spans="2:15" ht="15.75" thickBot="1">
      <c r="B17" s="2"/>
      <c r="C17" s="13" t="s">
        <v>675</v>
      </c>
      <c r="D17" s="14">
        <v>4</v>
      </c>
      <c r="E17" s="15">
        <v>5.5</v>
      </c>
      <c r="F17" s="27">
        <v>24</v>
      </c>
      <c r="G17" s="28">
        <v>34.5</v>
      </c>
      <c r="H17" s="136">
        <v>40</v>
      </c>
      <c r="I17" s="27" t="s">
        <v>671</v>
      </c>
      <c r="J17" s="28">
        <v>2900</v>
      </c>
      <c r="K17" s="38" t="s">
        <v>566</v>
      </c>
      <c r="L17" s="39">
        <v>39</v>
      </c>
      <c r="M17" s="42">
        <f t="shared" si="0"/>
        <v>5.6160000000000009E-2</v>
      </c>
      <c r="N17" s="184"/>
      <c r="O17" s="184">
        <v>1010.30643</v>
      </c>
    </row>
    <row r="18" spans="2:15" ht="15.75" thickBot="1">
      <c r="B18" s="2"/>
      <c r="C18" s="13" t="s">
        <v>676</v>
      </c>
      <c r="D18" s="14">
        <v>5.5</v>
      </c>
      <c r="E18" s="15">
        <v>7.5</v>
      </c>
      <c r="F18" s="27">
        <v>24</v>
      </c>
      <c r="G18" s="28">
        <v>41</v>
      </c>
      <c r="H18" s="136">
        <v>47</v>
      </c>
      <c r="I18" s="27" t="s">
        <v>671</v>
      </c>
      <c r="J18" s="28">
        <v>2900</v>
      </c>
      <c r="K18" s="38" t="s">
        <v>566</v>
      </c>
      <c r="L18" s="39">
        <v>53</v>
      </c>
      <c r="M18" s="42">
        <f>0.52*0.39*0.32</f>
        <v>6.4896000000000009E-2</v>
      </c>
      <c r="N18" s="184"/>
      <c r="O18" s="184">
        <v>1132.4861100000001</v>
      </c>
    </row>
    <row r="19" spans="2:15" ht="15.75" thickBot="1">
      <c r="B19" s="2"/>
      <c r="C19" s="13" t="s">
        <v>677</v>
      </c>
      <c r="D19" s="14">
        <v>7.5</v>
      </c>
      <c r="E19" s="15">
        <v>10</v>
      </c>
      <c r="F19" s="27">
        <v>24</v>
      </c>
      <c r="G19" s="28">
        <v>53.5</v>
      </c>
      <c r="H19" s="136">
        <v>58</v>
      </c>
      <c r="I19" s="27" t="s">
        <v>671</v>
      </c>
      <c r="J19" s="28">
        <v>2900</v>
      </c>
      <c r="K19" s="38" t="s">
        <v>566</v>
      </c>
      <c r="L19" s="39">
        <v>61</v>
      </c>
      <c r="M19" s="42">
        <f>0.52*0.39*0.32</f>
        <v>6.4896000000000009E-2</v>
      </c>
      <c r="N19" s="184"/>
      <c r="O19" s="184">
        <v>1243.7094600000003</v>
      </c>
    </row>
    <row r="20" spans="2:15" ht="15.75" thickBot="1">
      <c r="B20" s="2"/>
      <c r="C20" s="13" t="s">
        <v>678</v>
      </c>
      <c r="D20" s="14">
        <v>11</v>
      </c>
      <c r="E20" s="15">
        <v>15</v>
      </c>
      <c r="F20" s="27">
        <v>24</v>
      </c>
      <c r="G20" s="28">
        <v>68.5</v>
      </c>
      <c r="H20" s="136">
        <v>72</v>
      </c>
      <c r="I20" s="27" t="s">
        <v>671</v>
      </c>
      <c r="J20" s="28">
        <v>2900</v>
      </c>
      <c r="K20" s="38" t="s">
        <v>566</v>
      </c>
      <c r="L20" s="39">
        <v>74</v>
      </c>
      <c r="M20" s="42">
        <f>0.61*0.45*0.32</f>
        <v>8.7840000000000015E-2</v>
      </c>
      <c r="N20" s="184"/>
      <c r="O20" s="184">
        <v>1708.8554700000004</v>
      </c>
    </row>
    <row r="21" spans="2:15" ht="15.75" thickBot="1">
      <c r="B21" s="2"/>
      <c r="C21" s="13" t="s">
        <v>679</v>
      </c>
      <c r="D21" s="14">
        <v>2.2000000000000002</v>
      </c>
      <c r="E21" s="15">
        <v>3</v>
      </c>
      <c r="F21" s="27">
        <v>36</v>
      </c>
      <c r="G21" s="28">
        <v>14.9</v>
      </c>
      <c r="H21" s="136">
        <v>19</v>
      </c>
      <c r="I21" s="27" t="s">
        <v>680</v>
      </c>
      <c r="J21" s="28">
        <v>2900</v>
      </c>
      <c r="K21" s="38" t="s">
        <v>566</v>
      </c>
      <c r="L21" s="39">
        <v>32</v>
      </c>
      <c r="M21" s="42">
        <f>0.45*0.39*0.32</f>
        <v>5.6160000000000009E-2</v>
      </c>
      <c r="N21" s="184">
        <v>728.76195000000007</v>
      </c>
      <c r="O21" s="184">
        <v>693.90089999999998</v>
      </c>
    </row>
    <row r="22" spans="2:15" ht="15.75" thickBot="1">
      <c r="B22" s="2"/>
      <c r="C22" s="13" t="s">
        <v>681</v>
      </c>
      <c r="D22" s="14">
        <v>3</v>
      </c>
      <c r="E22" s="15">
        <v>4</v>
      </c>
      <c r="F22" s="27">
        <v>36</v>
      </c>
      <c r="G22" s="28">
        <v>18.399999999999999</v>
      </c>
      <c r="H22" s="136">
        <v>22</v>
      </c>
      <c r="I22" s="27" t="s">
        <v>680</v>
      </c>
      <c r="J22" s="28">
        <v>2900</v>
      </c>
      <c r="K22" s="38" t="s">
        <v>566</v>
      </c>
      <c r="L22" s="39">
        <v>33</v>
      </c>
      <c r="M22" s="42">
        <f>0.45*0.39*0.32</f>
        <v>5.6160000000000009E-2</v>
      </c>
      <c r="N22" s="184">
        <v>984.40965000000017</v>
      </c>
      <c r="O22" s="184">
        <v>903.39921000000015</v>
      </c>
    </row>
    <row r="23" spans="2:15" ht="15.75" thickBot="1">
      <c r="B23" s="2"/>
      <c r="C23" s="13" t="s">
        <v>682</v>
      </c>
      <c r="D23" s="14">
        <v>4</v>
      </c>
      <c r="E23" s="15">
        <v>5.5</v>
      </c>
      <c r="F23" s="27">
        <v>36</v>
      </c>
      <c r="G23" s="28">
        <v>24</v>
      </c>
      <c r="H23" s="136">
        <v>26.5</v>
      </c>
      <c r="I23" s="27" t="s">
        <v>680</v>
      </c>
      <c r="J23" s="28">
        <v>2900</v>
      </c>
      <c r="K23" s="38" t="s">
        <v>566</v>
      </c>
      <c r="L23" s="39">
        <v>39</v>
      </c>
      <c r="M23" s="42">
        <f>0.45*0.39*0.32</f>
        <v>5.6160000000000009E-2</v>
      </c>
      <c r="N23" s="184"/>
      <c r="O23" s="184">
        <v>1019.9347200000002</v>
      </c>
    </row>
    <row r="24" spans="2:15" ht="15.75" thickBot="1">
      <c r="B24" s="2"/>
      <c r="C24" s="13" t="s">
        <v>683</v>
      </c>
      <c r="D24" s="14">
        <v>5.5</v>
      </c>
      <c r="E24" s="15">
        <v>7.5</v>
      </c>
      <c r="F24" s="27">
        <v>42</v>
      </c>
      <c r="G24" s="28">
        <v>27</v>
      </c>
      <c r="H24" s="136">
        <v>33</v>
      </c>
      <c r="I24" s="27" t="s">
        <v>680</v>
      </c>
      <c r="J24" s="28">
        <v>2900</v>
      </c>
      <c r="K24" s="38" t="s">
        <v>566</v>
      </c>
      <c r="L24" s="39">
        <v>54</v>
      </c>
      <c r="M24" s="42">
        <f>0.52*0.39*0.32</f>
        <v>6.4896000000000009E-2</v>
      </c>
      <c r="N24" s="184"/>
      <c r="O24" s="184">
        <v>1143.7744500000001</v>
      </c>
    </row>
    <row r="25" spans="2:15" ht="15.75" thickBot="1">
      <c r="B25" s="16"/>
      <c r="C25" s="13" t="s">
        <v>684</v>
      </c>
      <c r="D25" s="14">
        <v>7.5</v>
      </c>
      <c r="E25" s="15">
        <v>10</v>
      </c>
      <c r="F25" s="27">
        <v>42</v>
      </c>
      <c r="G25" s="28">
        <v>35</v>
      </c>
      <c r="H25" s="136">
        <v>40</v>
      </c>
      <c r="I25" s="27" t="s">
        <v>680</v>
      </c>
      <c r="J25" s="28">
        <v>2900</v>
      </c>
      <c r="K25" s="38" t="s">
        <v>566</v>
      </c>
      <c r="L25" s="39">
        <v>60</v>
      </c>
      <c r="M25" s="42">
        <f>0.52*0.39*0.32</f>
        <v>6.4896000000000009E-2</v>
      </c>
      <c r="N25" s="184"/>
      <c r="O25" s="184">
        <v>1255.9938300000001</v>
      </c>
    </row>
    <row r="26" spans="2:15" ht="15.75" thickBot="1">
      <c r="B26" s="2"/>
      <c r="C26" s="13" t="s">
        <v>685</v>
      </c>
      <c r="D26" s="14">
        <v>9.1999999999999993</v>
      </c>
      <c r="E26" s="15">
        <v>12.5</v>
      </c>
      <c r="F26" s="27">
        <v>42</v>
      </c>
      <c r="G26" s="28">
        <v>47.5</v>
      </c>
      <c r="H26" s="136">
        <v>53</v>
      </c>
      <c r="I26" s="27" t="s">
        <v>680</v>
      </c>
      <c r="J26" s="28">
        <v>2900</v>
      </c>
      <c r="K26" s="38" t="s">
        <v>566</v>
      </c>
      <c r="L26" s="39">
        <v>68</v>
      </c>
      <c r="M26" s="42">
        <f>0.61*0.45*0.32</f>
        <v>8.7840000000000015E-2</v>
      </c>
      <c r="N26" s="184"/>
      <c r="O26" s="184">
        <v>1665.6941700000002</v>
      </c>
    </row>
    <row r="27" spans="2:15" ht="15.75" thickBot="1">
      <c r="B27" s="2"/>
      <c r="C27" s="13" t="s">
        <v>686</v>
      </c>
      <c r="D27" s="14">
        <v>11</v>
      </c>
      <c r="E27" s="15">
        <v>15</v>
      </c>
      <c r="F27" s="27">
        <v>54</v>
      </c>
      <c r="G27" s="28">
        <v>51</v>
      </c>
      <c r="H27" s="136">
        <v>59</v>
      </c>
      <c r="I27" s="27" t="s">
        <v>680</v>
      </c>
      <c r="J27" s="28">
        <v>2900</v>
      </c>
      <c r="K27" s="38" t="s">
        <v>566</v>
      </c>
      <c r="L27" s="39">
        <v>74</v>
      </c>
      <c r="M27" s="42">
        <f>0.61*0.45*0.32</f>
        <v>8.7840000000000015E-2</v>
      </c>
      <c r="N27" s="184"/>
      <c r="O27" s="184">
        <v>1726.4520000000002</v>
      </c>
    </row>
    <row r="28" spans="2:15" ht="15.75" thickBot="1">
      <c r="B28" s="2"/>
      <c r="C28" s="13" t="s">
        <v>687</v>
      </c>
      <c r="D28" s="14">
        <v>15</v>
      </c>
      <c r="E28" s="15">
        <v>20</v>
      </c>
      <c r="F28" s="27">
        <v>54</v>
      </c>
      <c r="G28" s="28">
        <v>65</v>
      </c>
      <c r="H28" s="136">
        <v>72</v>
      </c>
      <c r="I28" s="27" t="s">
        <v>680</v>
      </c>
      <c r="J28" s="28">
        <v>2900</v>
      </c>
      <c r="K28" s="38" t="s">
        <v>566</v>
      </c>
      <c r="L28" s="39">
        <v>104</v>
      </c>
      <c r="M28" s="42">
        <f>0.74*0.47*0.32</f>
        <v>0.11129600000000001</v>
      </c>
      <c r="N28" s="184"/>
      <c r="O28" s="184">
        <v>2161.3851000000004</v>
      </c>
    </row>
    <row r="29" spans="2:15" ht="15.75" thickBot="1">
      <c r="B29" s="2"/>
      <c r="C29" s="13" t="s">
        <v>688</v>
      </c>
      <c r="D29" s="14">
        <v>4</v>
      </c>
      <c r="E29" s="15">
        <v>5.5</v>
      </c>
      <c r="F29" s="27">
        <v>54</v>
      </c>
      <c r="G29" s="28">
        <v>17.3</v>
      </c>
      <c r="H29" s="136">
        <v>22.2</v>
      </c>
      <c r="I29" s="27" t="s">
        <v>689</v>
      </c>
      <c r="J29" s="28">
        <v>2900</v>
      </c>
      <c r="K29" s="38" t="s">
        <v>566</v>
      </c>
      <c r="L29" s="39">
        <v>44</v>
      </c>
      <c r="M29" s="42">
        <f>0.45*0.39*0.32</f>
        <v>5.6160000000000009E-2</v>
      </c>
      <c r="N29" s="184"/>
      <c r="O29" s="184">
        <v>1030.5590400000001</v>
      </c>
    </row>
    <row r="30" spans="2:15" ht="15.75" thickBot="1">
      <c r="B30" s="2"/>
      <c r="C30" s="13" t="s">
        <v>690</v>
      </c>
      <c r="D30" s="14">
        <v>5.5</v>
      </c>
      <c r="E30" s="15">
        <v>7.5</v>
      </c>
      <c r="F30" s="27">
        <v>72</v>
      </c>
      <c r="G30" s="28">
        <v>18.5</v>
      </c>
      <c r="H30" s="136">
        <v>27</v>
      </c>
      <c r="I30" s="27" t="s">
        <v>689</v>
      </c>
      <c r="J30" s="28">
        <v>2900</v>
      </c>
      <c r="K30" s="38" t="s">
        <v>566</v>
      </c>
      <c r="L30" s="39">
        <v>57</v>
      </c>
      <c r="M30" s="42">
        <f>0.52*0.39*0.32</f>
        <v>6.4896000000000009E-2</v>
      </c>
      <c r="N30" s="184"/>
      <c r="O30" s="184">
        <v>1154.7307800000001</v>
      </c>
    </row>
    <row r="31" spans="2:15" ht="15.75" thickBot="1">
      <c r="B31" s="2"/>
      <c r="C31" s="13" t="s">
        <v>691</v>
      </c>
      <c r="D31" s="14">
        <v>7.5</v>
      </c>
      <c r="E31" s="15">
        <v>10</v>
      </c>
      <c r="F31" s="27">
        <v>72</v>
      </c>
      <c r="G31" s="28">
        <v>24</v>
      </c>
      <c r="H31" s="136">
        <v>32</v>
      </c>
      <c r="I31" s="27" t="s">
        <v>689</v>
      </c>
      <c r="J31" s="28">
        <v>2900</v>
      </c>
      <c r="K31" s="38" t="s">
        <v>566</v>
      </c>
      <c r="L31" s="39">
        <v>63</v>
      </c>
      <c r="M31" s="42">
        <f>0.52*0.39*0.32</f>
        <v>6.4896000000000009E-2</v>
      </c>
      <c r="N31" s="184"/>
      <c r="O31" s="184">
        <v>1268.9422200000001</v>
      </c>
    </row>
    <row r="32" spans="2:15" ht="15.75" thickBot="1">
      <c r="B32" s="2"/>
      <c r="C32" s="13" t="s">
        <v>692</v>
      </c>
      <c r="D32" s="14">
        <v>9.1999999999999993</v>
      </c>
      <c r="E32" s="15">
        <v>12.5</v>
      </c>
      <c r="F32" s="27">
        <v>114</v>
      </c>
      <c r="G32" s="28">
        <v>21.1</v>
      </c>
      <c r="H32" s="136">
        <v>36.5</v>
      </c>
      <c r="I32" s="27" t="s">
        <v>689</v>
      </c>
      <c r="J32" s="28">
        <v>2900</v>
      </c>
      <c r="K32" s="38" t="s">
        <v>566</v>
      </c>
      <c r="L32" s="39">
        <v>73</v>
      </c>
      <c r="M32" s="42">
        <f>0.61*0.45*0.32</f>
        <v>8.7840000000000015E-2</v>
      </c>
      <c r="N32" s="184"/>
      <c r="O32" s="184">
        <v>1681.9626600000001</v>
      </c>
    </row>
    <row r="33" spans="2:19" ht="15.75" thickBot="1">
      <c r="B33" s="2"/>
      <c r="C33" s="13" t="s">
        <v>693</v>
      </c>
      <c r="D33" s="14">
        <v>11</v>
      </c>
      <c r="E33" s="15">
        <v>15</v>
      </c>
      <c r="F33" s="27">
        <v>114</v>
      </c>
      <c r="G33" s="28">
        <v>25.8</v>
      </c>
      <c r="H33" s="136">
        <v>40.5</v>
      </c>
      <c r="I33" s="27" t="s">
        <v>689</v>
      </c>
      <c r="J33" s="28">
        <v>2900</v>
      </c>
      <c r="K33" s="38" t="s">
        <v>566</v>
      </c>
      <c r="L33" s="39">
        <v>82</v>
      </c>
      <c r="M33" s="42">
        <f>0.61*0.45*0.32</f>
        <v>8.7840000000000015E-2</v>
      </c>
      <c r="N33" s="184"/>
      <c r="O33" s="184">
        <v>1743.3845100000003</v>
      </c>
    </row>
    <row r="34" spans="2:19" ht="15.75" thickBot="1">
      <c r="B34" s="2"/>
      <c r="C34" s="13" t="s">
        <v>694</v>
      </c>
      <c r="D34" s="14">
        <v>15</v>
      </c>
      <c r="E34" s="15">
        <v>20</v>
      </c>
      <c r="F34" s="27">
        <v>114</v>
      </c>
      <c r="G34" s="28">
        <v>32.6</v>
      </c>
      <c r="H34" s="136">
        <v>48</v>
      </c>
      <c r="I34" s="27" t="s">
        <v>689</v>
      </c>
      <c r="J34" s="28">
        <v>2900</v>
      </c>
      <c r="K34" s="38" t="s">
        <v>566</v>
      </c>
      <c r="L34" s="39">
        <v>101</v>
      </c>
      <c r="M34" s="42">
        <f>0.74*0.47*0.32</f>
        <v>0.11129600000000001</v>
      </c>
      <c r="N34" s="184"/>
      <c r="O34" s="184">
        <v>2182.6337400000002</v>
      </c>
    </row>
    <row r="35" spans="2:19" ht="15.75" thickBot="1">
      <c r="B35" s="2"/>
      <c r="C35" s="13" t="s">
        <v>695</v>
      </c>
      <c r="D35" s="14">
        <v>15</v>
      </c>
      <c r="E35" s="15">
        <v>20</v>
      </c>
      <c r="F35" s="27">
        <v>114</v>
      </c>
      <c r="G35" s="28">
        <v>35.299999999999997</v>
      </c>
      <c r="H35" s="136">
        <v>53.5</v>
      </c>
      <c r="I35" s="27" t="s">
        <v>689</v>
      </c>
      <c r="J35" s="28">
        <v>2900</v>
      </c>
      <c r="K35" s="38" t="s">
        <v>566</v>
      </c>
      <c r="L35" s="39">
        <v>124</v>
      </c>
      <c r="M35" s="42">
        <f>0.75*0.52*0.37</f>
        <v>0.14430000000000001</v>
      </c>
      <c r="N35" s="184"/>
      <c r="O35" s="184">
        <v>2204.5464000000002</v>
      </c>
    </row>
    <row r="36" spans="2:19" ht="15.75" thickBot="1">
      <c r="B36" s="2"/>
      <c r="C36" s="13" t="s">
        <v>696</v>
      </c>
      <c r="D36" s="14">
        <v>18.5</v>
      </c>
      <c r="E36" s="15">
        <v>25</v>
      </c>
      <c r="F36" s="27">
        <v>114</v>
      </c>
      <c r="G36" s="28">
        <v>43</v>
      </c>
      <c r="H36" s="136">
        <v>60.5</v>
      </c>
      <c r="I36" s="27" t="s">
        <v>689</v>
      </c>
      <c r="J36" s="28">
        <v>2900</v>
      </c>
      <c r="K36" s="38" t="s">
        <v>566</v>
      </c>
      <c r="L36" s="39">
        <v>137</v>
      </c>
      <c r="M36" s="42">
        <f>0.75*0.52*0.37</f>
        <v>0.14430000000000001</v>
      </c>
      <c r="N36" s="184"/>
      <c r="O36" s="184">
        <v>2367.2312999999999</v>
      </c>
    </row>
    <row r="37" spans="2:19" ht="15.75" thickBot="1">
      <c r="B37" s="2"/>
      <c r="C37" s="13" t="s">
        <v>697</v>
      </c>
      <c r="D37" s="14">
        <v>22</v>
      </c>
      <c r="E37" s="15">
        <v>30</v>
      </c>
      <c r="F37" s="27">
        <v>126</v>
      </c>
      <c r="G37" s="28">
        <v>48</v>
      </c>
      <c r="H37" s="136">
        <v>67</v>
      </c>
      <c r="I37" s="27" t="s">
        <v>689</v>
      </c>
      <c r="J37" s="28">
        <v>2900</v>
      </c>
      <c r="K37" s="38" t="s">
        <v>566</v>
      </c>
      <c r="L37" s="39">
        <v>146</v>
      </c>
      <c r="M37" s="42">
        <f>0.75*0.52*0.37</f>
        <v>0.14430000000000001</v>
      </c>
      <c r="N37" s="184"/>
      <c r="O37" s="184">
        <v>2500.6993200000006</v>
      </c>
    </row>
    <row r="38" spans="2:19" ht="15.75" thickBot="1">
      <c r="B38" s="2"/>
      <c r="C38" s="13" t="s">
        <v>698</v>
      </c>
      <c r="D38" s="14">
        <v>11</v>
      </c>
      <c r="E38" s="15">
        <v>15</v>
      </c>
      <c r="F38" s="27">
        <v>132</v>
      </c>
      <c r="G38" s="28">
        <v>22.4</v>
      </c>
      <c r="H38" s="136">
        <v>29</v>
      </c>
      <c r="I38" s="27" t="s">
        <v>699</v>
      </c>
      <c r="J38" s="28">
        <v>2900</v>
      </c>
      <c r="K38" s="38" t="s">
        <v>566</v>
      </c>
      <c r="L38" s="39">
        <v>95</v>
      </c>
      <c r="M38" s="42">
        <f>0.72*0.52*0.37</f>
        <v>0.13852800000000001</v>
      </c>
      <c r="N38" s="184"/>
      <c r="O38" s="184">
        <v>1760.9810399999999</v>
      </c>
    </row>
    <row r="39" spans="2:19" ht="15.75" thickBot="1">
      <c r="B39" s="2"/>
      <c r="C39" s="13" t="s">
        <v>700</v>
      </c>
      <c r="D39" s="14">
        <v>15</v>
      </c>
      <c r="E39" s="15">
        <v>20</v>
      </c>
      <c r="F39" s="27">
        <v>138</v>
      </c>
      <c r="G39" s="28">
        <v>29.4</v>
      </c>
      <c r="H39" s="136">
        <v>35</v>
      </c>
      <c r="I39" s="27" t="s">
        <v>699</v>
      </c>
      <c r="J39" s="28">
        <v>2900</v>
      </c>
      <c r="K39" s="38" t="s">
        <v>566</v>
      </c>
      <c r="L39" s="39">
        <v>130</v>
      </c>
      <c r="M39" s="42">
        <f>0.85*0.52*0.37</f>
        <v>0.16353999999999999</v>
      </c>
      <c r="N39" s="184"/>
      <c r="O39" s="184">
        <v>2204.5464000000002</v>
      </c>
    </row>
    <row r="40" spans="2:19" ht="15.75" thickBot="1">
      <c r="B40" s="2"/>
      <c r="C40" s="13" t="s">
        <v>701</v>
      </c>
      <c r="D40" s="14">
        <v>18.5</v>
      </c>
      <c r="E40" s="15">
        <v>25</v>
      </c>
      <c r="F40" s="27">
        <v>150</v>
      </c>
      <c r="G40" s="28">
        <v>33.5</v>
      </c>
      <c r="H40" s="136">
        <v>40</v>
      </c>
      <c r="I40" s="27" t="s">
        <v>699</v>
      </c>
      <c r="J40" s="28">
        <v>2900</v>
      </c>
      <c r="K40" s="38" t="s">
        <v>566</v>
      </c>
      <c r="L40" s="39">
        <v>146</v>
      </c>
      <c r="M40" s="42">
        <f>0.85*0.52*0.37</f>
        <v>0.16353999999999999</v>
      </c>
      <c r="N40" s="184"/>
      <c r="O40" s="184">
        <v>2390.4720000000002</v>
      </c>
    </row>
    <row r="41" spans="2:19" ht="15.75" thickBot="1">
      <c r="B41" s="2"/>
      <c r="C41" s="13" t="s">
        <v>702</v>
      </c>
      <c r="D41" s="14">
        <v>22</v>
      </c>
      <c r="E41" s="15">
        <v>30</v>
      </c>
      <c r="F41" s="27">
        <v>138</v>
      </c>
      <c r="G41" s="28">
        <v>41</v>
      </c>
      <c r="H41" s="136">
        <v>50</v>
      </c>
      <c r="I41" s="27" t="s">
        <v>699</v>
      </c>
      <c r="J41" s="28">
        <v>2900</v>
      </c>
      <c r="K41" s="38" t="s">
        <v>566</v>
      </c>
      <c r="L41" s="39">
        <v>200</v>
      </c>
      <c r="M41" s="42">
        <f>0.94*0.56*0.42</f>
        <v>0.22108799999999998</v>
      </c>
      <c r="N41" s="184"/>
      <c r="O41" s="184">
        <v>3153.0989700000005</v>
      </c>
    </row>
    <row r="42" spans="2:19" ht="15.75" thickBot="1">
      <c r="B42" s="2"/>
      <c r="C42" s="13" t="s">
        <v>703</v>
      </c>
      <c r="D42" s="14">
        <v>30</v>
      </c>
      <c r="E42" s="15">
        <v>40</v>
      </c>
      <c r="F42" s="27">
        <v>150</v>
      </c>
      <c r="G42" s="28">
        <v>51</v>
      </c>
      <c r="H42" s="136">
        <v>60</v>
      </c>
      <c r="I42" s="27" t="s">
        <v>699</v>
      </c>
      <c r="J42" s="28">
        <v>2900</v>
      </c>
      <c r="K42" s="38" t="s">
        <v>566</v>
      </c>
      <c r="L42" s="39">
        <v>282</v>
      </c>
      <c r="M42" s="42">
        <f>1.01*0.56*0.42</f>
        <v>0.23755200000000004</v>
      </c>
      <c r="N42" s="184"/>
      <c r="O42" s="184">
        <v>3933.6544800000001</v>
      </c>
    </row>
    <row r="43" spans="2:19" ht="15.75" thickBot="1">
      <c r="B43" s="2"/>
      <c r="C43" s="13" t="s">
        <v>704</v>
      </c>
      <c r="D43" s="14">
        <v>37</v>
      </c>
      <c r="E43" s="15">
        <v>50</v>
      </c>
      <c r="F43" s="27">
        <v>150</v>
      </c>
      <c r="G43" s="28">
        <v>56.5</v>
      </c>
      <c r="H43" s="136">
        <v>66</v>
      </c>
      <c r="I43" s="27" t="s">
        <v>699</v>
      </c>
      <c r="J43" s="28">
        <v>2900</v>
      </c>
      <c r="K43" s="38" t="s">
        <v>566</v>
      </c>
      <c r="L43" s="39">
        <v>302</v>
      </c>
      <c r="M43" s="42">
        <f>1.01*0.56*0.42</f>
        <v>0.23755200000000004</v>
      </c>
      <c r="N43" s="184"/>
      <c r="O43" s="184">
        <v>4337.3786400000008</v>
      </c>
    </row>
    <row r="44" spans="2:19" ht="15.75" thickBot="1">
      <c r="B44" s="2"/>
      <c r="C44" s="13" t="s">
        <v>2951</v>
      </c>
      <c r="D44" s="14">
        <v>18.5</v>
      </c>
      <c r="E44" s="15">
        <v>25</v>
      </c>
      <c r="F44" s="27">
        <v>200</v>
      </c>
      <c r="G44" s="28">
        <v>23</v>
      </c>
      <c r="H44" s="136">
        <v>31</v>
      </c>
      <c r="I44" s="27" t="s">
        <v>1285</v>
      </c>
      <c r="J44" s="28">
        <v>2900</v>
      </c>
      <c r="K44" s="38" t="s">
        <v>566</v>
      </c>
      <c r="L44" s="39">
        <v>180</v>
      </c>
      <c r="M44" s="42">
        <f>0.86*0.44*0.6</f>
        <v>0.22703999999999999</v>
      </c>
      <c r="N44" s="184"/>
      <c r="O44" s="184">
        <v>3364.9894594800012</v>
      </c>
      <c r="S44" s="64"/>
    </row>
    <row r="45" spans="2:19" ht="15.75" thickBot="1">
      <c r="B45" s="2"/>
      <c r="C45" s="13" t="s">
        <v>2952</v>
      </c>
      <c r="D45" s="14">
        <v>22</v>
      </c>
      <c r="E45" s="15">
        <v>30</v>
      </c>
      <c r="F45" s="27">
        <v>200</v>
      </c>
      <c r="G45" s="28">
        <v>27</v>
      </c>
      <c r="H45" s="136">
        <v>34</v>
      </c>
      <c r="I45" s="27" t="s">
        <v>1285</v>
      </c>
      <c r="J45" s="28">
        <v>2900</v>
      </c>
      <c r="K45" s="38" t="s">
        <v>566</v>
      </c>
      <c r="L45" s="39">
        <v>203</v>
      </c>
      <c r="M45" s="42">
        <f>0.86*0.44*0.6</f>
        <v>0.22703999999999999</v>
      </c>
      <c r="N45" s="184"/>
      <c r="O45" s="184">
        <v>4195.8674406000009</v>
      </c>
      <c r="S45" s="64"/>
    </row>
    <row r="46" spans="2:19" ht="15.75" thickBot="1">
      <c r="B46" s="2"/>
      <c r="C46" s="13" t="s">
        <v>2953</v>
      </c>
      <c r="D46" s="14">
        <v>30</v>
      </c>
      <c r="E46" s="15">
        <v>40</v>
      </c>
      <c r="F46" s="27">
        <v>200</v>
      </c>
      <c r="G46" s="28">
        <v>32</v>
      </c>
      <c r="H46" s="136">
        <v>38</v>
      </c>
      <c r="I46" s="27" t="s">
        <v>1285</v>
      </c>
      <c r="J46" s="28">
        <v>2900</v>
      </c>
      <c r="K46" s="38" t="s">
        <v>566</v>
      </c>
      <c r="L46" s="39">
        <v>260</v>
      </c>
      <c r="M46" s="42">
        <f>0.93*0.48*0.65</f>
        <v>0.29016000000000003</v>
      </c>
      <c r="N46" s="184"/>
      <c r="O46" s="184">
        <v>4960.0495454400007</v>
      </c>
      <c r="S46" s="64"/>
    </row>
    <row r="47" spans="2:19" ht="15.75" thickBot="1">
      <c r="B47" s="2"/>
      <c r="C47" s="13" t="s">
        <v>2954</v>
      </c>
      <c r="D47" s="14">
        <v>37</v>
      </c>
      <c r="E47" s="15">
        <v>50</v>
      </c>
      <c r="F47" s="27">
        <v>200</v>
      </c>
      <c r="G47" s="28">
        <v>40</v>
      </c>
      <c r="H47" s="136">
        <v>43</v>
      </c>
      <c r="I47" s="27" t="s">
        <v>1285</v>
      </c>
      <c r="J47" s="28">
        <v>2900</v>
      </c>
      <c r="K47" s="38" t="s">
        <v>566</v>
      </c>
      <c r="L47" s="39">
        <v>285</v>
      </c>
      <c r="M47" s="42">
        <f>0.93*0.48*0.65</f>
        <v>0.29016000000000003</v>
      </c>
      <c r="N47" s="184"/>
      <c r="O47" s="184">
        <v>5565.9533767200019</v>
      </c>
      <c r="S47" s="64"/>
    </row>
    <row r="48" spans="2:19" ht="15.75" thickBot="1">
      <c r="B48" s="2"/>
      <c r="C48" s="13" t="s">
        <v>2955</v>
      </c>
      <c r="D48" s="14">
        <v>45</v>
      </c>
      <c r="E48" s="15">
        <v>60</v>
      </c>
      <c r="F48" s="27">
        <v>200</v>
      </c>
      <c r="G48" s="28">
        <v>48</v>
      </c>
      <c r="H48" s="136">
        <v>51</v>
      </c>
      <c r="I48" s="27" t="s">
        <v>1285</v>
      </c>
      <c r="J48" s="28">
        <v>2900</v>
      </c>
      <c r="K48" s="38" t="s">
        <v>566</v>
      </c>
      <c r="L48" s="39">
        <v>385</v>
      </c>
      <c r="M48" s="42">
        <f>1*0.54*0.73</f>
        <v>0.39419999999999999</v>
      </c>
      <c r="N48" s="184"/>
      <c r="O48" s="184">
        <v>7399.5922440000004</v>
      </c>
      <c r="S48" s="64"/>
    </row>
    <row r="49" spans="2:19" ht="15.75" thickBot="1">
      <c r="B49" s="2"/>
      <c r="C49" s="13" t="s">
        <v>2956</v>
      </c>
      <c r="D49" s="14">
        <v>55</v>
      </c>
      <c r="E49" s="15">
        <v>75</v>
      </c>
      <c r="F49" s="27">
        <v>200</v>
      </c>
      <c r="G49" s="28">
        <v>56</v>
      </c>
      <c r="H49" s="136">
        <v>59</v>
      </c>
      <c r="I49" s="27" t="s">
        <v>1285</v>
      </c>
      <c r="J49" s="28">
        <v>2900</v>
      </c>
      <c r="K49" s="38" t="s">
        <v>566</v>
      </c>
      <c r="L49" s="39">
        <v>440</v>
      </c>
      <c r="M49" s="42">
        <f>1.1*0.58*0.76</f>
        <v>0.48488000000000003</v>
      </c>
      <c r="N49" s="184"/>
      <c r="O49" s="241" t="s">
        <v>2971</v>
      </c>
      <c r="S49" s="64"/>
    </row>
    <row r="50" spans="2:19" ht="15.75" thickBot="1">
      <c r="B50" s="2"/>
      <c r="C50" s="13" t="s">
        <v>2957</v>
      </c>
      <c r="D50" s="14">
        <v>45</v>
      </c>
      <c r="E50" s="15">
        <v>60</v>
      </c>
      <c r="F50" s="27">
        <v>320</v>
      </c>
      <c r="G50" s="28">
        <v>35</v>
      </c>
      <c r="H50" s="136">
        <v>41</v>
      </c>
      <c r="I50" s="27" t="s">
        <v>1296</v>
      </c>
      <c r="J50" s="28">
        <v>2900</v>
      </c>
      <c r="K50" s="38" t="s">
        <v>566</v>
      </c>
      <c r="L50" s="39">
        <v>385</v>
      </c>
      <c r="M50" s="42">
        <f>1*0.54*0.73</f>
        <v>0.39419999999999999</v>
      </c>
      <c r="N50" s="184"/>
      <c r="O50" s="184">
        <v>7575.7888126800017</v>
      </c>
      <c r="S50" s="64"/>
    </row>
    <row r="51" spans="2:19" ht="15.75" thickBot="1">
      <c r="B51" s="2"/>
      <c r="C51" s="13" t="s">
        <v>2958</v>
      </c>
      <c r="D51" s="14">
        <v>55</v>
      </c>
      <c r="E51" s="15">
        <v>75</v>
      </c>
      <c r="F51" s="27">
        <v>320</v>
      </c>
      <c r="G51" s="28">
        <v>40</v>
      </c>
      <c r="H51" s="136">
        <v>45</v>
      </c>
      <c r="I51" s="27" t="s">
        <v>1296</v>
      </c>
      <c r="J51" s="28">
        <v>2900</v>
      </c>
      <c r="K51" s="38" t="s">
        <v>566</v>
      </c>
      <c r="L51" s="39">
        <v>440</v>
      </c>
      <c r="M51" s="42">
        <f>1.1*0.58*0.76</f>
        <v>0.48488000000000003</v>
      </c>
      <c r="N51" s="184"/>
      <c r="O51" s="241" t="s">
        <v>2971</v>
      </c>
      <c r="S51" s="64"/>
    </row>
    <row r="52" spans="2:19" ht="15.75" thickBot="1">
      <c r="B52" s="2"/>
      <c r="C52" s="13" t="s">
        <v>2959</v>
      </c>
      <c r="D52" s="14">
        <v>75</v>
      </c>
      <c r="E52" s="15">
        <v>100</v>
      </c>
      <c r="F52" s="27">
        <v>320</v>
      </c>
      <c r="G52" s="28">
        <v>50</v>
      </c>
      <c r="H52" s="136">
        <v>55</v>
      </c>
      <c r="I52" s="27" t="s">
        <v>1296</v>
      </c>
      <c r="J52" s="28">
        <v>2900</v>
      </c>
      <c r="K52" s="38" t="s">
        <v>566</v>
      </c>
      <c r="L52" s="39">
        <v>580</v>
      </c>
      <c r="M52" s="42">
        <f>1.2*0.64*0.82</f>
        <v>0.62975999999999999</v>
      </c>
      <c r="N52" s="184"/>
      <c r="O52" s="241" t="s">
        <v>2971</v>
      </c>
      <c r="S52" s="64"/>
    </row>
    <row r="53" spans="2:19" ht="15.75" thickBot="1">
      <c r="B53" s="2"/>
      <c r="C53" s="13" t="s">
        <v>2960</v>
      </c>
      <c r="D53" s="14">
        <v>90</v>
      </c>
      <c r="E53" s="15">
        <v>125</v>
      </c>
      <c r="F53" s="27">
        <v>320</v>
      </c>
      <c r="G53" s="28">
        <v>58</v>
      </c>
      <c r="H53" s="136">
        <v>62</v>
      </c>
      <c r="I53" s="27" t="s">
        <v>1296</v>
      </c>
      <c r="J53" s="28">
        <v>2900</v>
      </c>
      <c r="K53" s="38" t="s">
        <v>566</v>
      </c>
      <c r="L53" s="39">
        <v>628</v>
      </c>
      <c r="M53" s="42">
        <f>1.2*0.64*0.82</f>
        <v>0.62975999999999999</v>
      </c>
      <c r="N53" s="184"/>
      <c r="O53" s="241" t="s">
        <v>2971</v>
      </c>
      <c r="S53" s="64"/>
    </row>
    <row r="54" spans="2:19" ht="15.75" thickBot="1">
      <c r="B54" s="2"/>
      <c r="C54" s="13" t="s">
        <v>1749</v>
      </c>
      <c r="D54" s="14">
        <v>1.1000000000000001</v>
      </c>
      <c r="E54" s="15">
        <v>1.5</v>
      </c>
      <c r="F54" s="27">
        <v>12</v>
      </c>
      <c r="G54" s="28">
        <v>18.399999999999999</v>
      </c>
      <c r="H54" s="136">
        <v>22.5</v>
      </c>
      <c r="I54" s="27" t="s">
        <v>664</v>
      </c>
      <c r="J54" s="28">
        <v>2900</v>
      </c>
      <c r="K54" s="38" t="s">
        <v>1263</v>
      </c>
      <c r="L54" s="39">
        <v>22</v>
      </c>
      <c r="M54" s="42">
        <f>0.43*0.34*0.27</f>
        <v>3.9474000000000002E-2</v>
      </c>
      <c r="N54" s="184">
        <v>970.13322000000005</v>
      </c>
      <c r="O54" s="184">
        <v>923.65182000000004</v>
      </c>
      <c r="S54" s="64"/>
    </row>
    <row r="55" spans="2:19" ht="15.75" thickBot="1">
      <c r="B55" s="2"/>
      <c r="C55" s="13" t="s">
        <v>1750</v>
      </c>
      <c r="D55" s="14">
        <v>1.5</v>
      </c>
      <c r="E55" s="15">
        <v>2</v>
      </c>
      <c r="F55" s="27">
        <v>12</v>
      </c>
      <c r="G55" s="28">
        <v>24.5</v>
      </c>
      <c r="H55" s="136">
        <v>29.5</v>
      </c>
      <c r="I55" s="27" t="s">
        <v>664</v>
      </c>
      <c r="J55" s="28">
        <v>2900</v>
      </c>
      <c r="K55" s="38" t="s">
        <v>1263</v>
      </c>
      <c r="L55" s="39">
        <v>25</v>
      </c>
      <c r="M55" s="42">
        <f>0.43*0.34*0.27</f>
        <v>3.9474000000000002E-2</v>
      </c>
      <c r="N55" s="184">
        <v>1063.42803</v>
      </c>
      <c r="O55" s="184">
        <v>996.69402000000025</v>
      </c>
      <c r="S55" s="64"/>
    </row>
    <row r="56" spans="2:19" ht="15.75" thickBot="1">
      <c r="B56" s="2"/>
      <c r="C56" s="13" t="s">
        <v>1751</v>
      </c>
      <c r="D56" s="14">
        <v>2.2000000000000002</v>
      </c>
      <c r="E56" s="15">
        <v>3</v>
      </c>
      <c r="F56" s="27">
        <v>12</v>
      </c>
      <c r="G56" s="28">
        <v>32</v>
      </c>
      <c r="H56" s="136">
        <v>37</v>
      </c>
      <c r="I56" s="27" t="s">
        <v>664</v>
      </c>
      <c r="J56" s="28">
        <v>2900</v>
      </c>
      <c r="K56" s="38" t="s">
        <v>1263</v>
      </c>
      <c r="L56" s="39">
        <v>27</v>
      </c>
      <c r="M56" s="42">
        <f>0.43*0.34*0.27</f>
        <v>3.9474000000000002E-2</v>
      </c>
      <c r="N56" s="184">
        <v>1115.8856100000003</v>
      </c>
      <c r="O56" s="184">
        <v>1035.8712</v>
      </c>
      <c r="S56" s="64"/>
    </row>
    <row r="57" spans="2:19" ht="15.75" thickBot="1">
      <c r="B57" s="2"/>
      <c r="C57" s="13" t="s">
        <v>1752</v>
      </c>
      <c r="D57" s="14">
        <v>3</v>
      </c>
      <c r="E57" s="15">
        <v>4</v>
      </c>
      <c r="F57" s="27">
        <v>12</v>
      </c>
      <c r="G57" s="28">
        <v>37.5</v>
      </c>
      <c r="H57" s="136">
        <v>44</v>
      </c>
      <c r="I57" s="27" t="s">
        <v>664</v>
      </c>
      <c r="J57" s="28">
        <v>2900</v>
      </c>
      <c r="K57" s="38" t="s">
        <v>1263</v>
      </c>
      <c r="L57" s="39">
        <v>37</v>
      </c>
      <c r="M57" s="42">
        <f t="shared" ref="M57:M63" si="1">0.45*0.39*0.32</f>
        <v>5.6160000000000009E-2</v>
      </c>
      <c r="N57" s="184"/>
      <c r="O57" s="184">
        <v>1334.0161800000001</v>
      </c>
      <c r="S57" s="64"/>
    </row>
    <row r="58" spans="2:19" ht="15.75" thickBot="1">
      <c r="B58" s="2"/>
      <c r="C58" s="13" t="s">
        <v>1753</v>
      </c>
      <c r="D58" s="14">
        <v>4</v>
      </c>
      <c r="E58" s="15">
        <v>5.5</v>
      </c>
      <c r="F58" s="27">
        <v>18</v>
      </c>
      <c r="G58" s="28">
        <v>43.5</v>
      </c>
      <c r="H58" s="136">
        <v>55</v>
      </c>
      <c r="I58" s="27" t="s">
        <v>664</v>
      </c>
      <c r="J58" s="28">
        <v>2900</v>
      </c>
      <c r="K58" s="38" t="s">
        <v>1263</v>
      </c>
      <c r="L58" s="39">
        <v>43</v>
      </c>
      <c r="M58" s="42">
        <f t="shared" si="1"/>
        <v>5.6160000000000009E-2</v>
      </c>
      <c r="N58" s="184"/>
      <c r="O58" s="184">
        <v>1551.81474</v>
      </c>
      <c r="S58" s="64"/>
    </row>
    <row r="59" spans="2:19" ht="15.75" thickBot="1">
      <c r="B59" s="2"/>
      <c r="C59" s="13" t="s">
        <v>1754</v>
      </c>
      <c r="D59" s="14">
        <v>5.5</v>
      </c>
      <c r="E59" s="15">
        <v>7.5</v>
      </c>
      <c r="F59" s="27">
        <v>18</v>
      </c>
      <c r="G59" s="28">
        <v>58.5</v>
      </c>
      <c r="H59" s="136">
        <v>70.5</v>
      </c>
      <c r="I59" s="27" t="s">
        <v>664</v>
      </c>
      <c r="J59" s="28">
        <v>2900</v>
      </c>
      <c r="K59" s="38" t="s">
        <v>1263</v>
      </c>
      <c r="L59" s="39">
        <v>53</v>
      </c>
      <c r="M59" s="42">
        <f>0.5*0.39*0.32</f>
        <v>6.2400000000000004E-2</v>
      </c>
      <c r="N59" s="184"/>
      <c r="O59" s="184">
        <v>1953.8788500000003</v>
      </c>
      <c r="S59" s="64"/>
    </row>
    <row r="60" spans="2:19" ht="15.75" thickBot="1">
      <c r="B60" s="2"/>
      <c r="C60" s="13" t="s">
        <v>1755</v>
      </c>
      <c r="D60" s="14">
        <v>1.5</v>
      </c>
      <c r="E60" s="15">
        <v>2</v>
      </c>
      <c r="F60" s="27">
        <v>20</v>
      </c>
      <c r="G60" s="28">
        <v>17</v>
      </c>
      <c r="H60" s="136">
        <v>20</v>
      </c>
      <c r="I60" s="27" t="s">
        <v>671</v>
      </c>
      <c r="J60" s="28">
        <v>2900</v>
      </c>
      <c r="K60" s="38" t="s">
        <v>1263</v>
      </c>
      <c r="L60" s="39">
        <v>23</v>
      </c>
      <c r="M60" s="42">
        <f>0.43*0.34*0.27</f>
        <v>3.9474000000000002E-2</v>
      </c>
      <c r="N60" s="184">
        <v>1087.33275</v>
      </c>
      <c r="O60" s="184">
        <v>1020.9307500000001</v>
      </c>
      <c r="S60" s="64"/>
    </row>
    <row r="61" spans="2:19" ht="15.75" thickBot="1">
      <c r="B61" s="2"/>
      <c r="C61" s="13" t="s">
        <v>1756</v>
      </c>
      <c r="D61" s="14">
        <v>2.2000000000000002</v>
      </c>
      <c r="E61" s="15">
        <v>3</v>
      </c>
      <c r="F61" s="27">
        <v>20</v>
      </c>
      <c r="G61" s="28">
        <v>23.5</v>
      </c>
      <c r="H61" s="136">
        <v>26.5</v>
      </c>
      <c r="I61" s="27" t="s">
        <v>671</v>
      </c>
      <c r="J61" s="28">
        <v>2900</v>
      </c>
      <c r="K61" s="38" t="s">
        <v>1263</v>
      </c>
      <c r="L61" s="39">
        <v>25</v>
      </c>
      <c r="M61" s="42">
        <f>0.43*0.34*0.27</f>
        <v>3.9474000000000002E-2</v>
      </c>
      <c r="N61" s="184">
        <v>1149.75063</v>
      </c>
      <c r="O61" s="184">
        <v>1069.4042100000001</v>
      </c>
      <c r="S61" s="64"/>
    </row>
    <row r="62" spans="2:19" ht="15.75" thickBot="1">
      <c r="B62" s="2"/>
      <c r="C62" s="13" t="s">
        <v>1757</v>
      </c>
      <c r="D62" s="14">
        <v>3</v>
      </c>
      <c r="E62" s="15">
        <v>4</v>
      </c>
      <c r="F62" s="27">
        <v>24</v>
      </c>
      <c r="G62" s="28">
        <v>25.5</v>
      </c>
      <c r="H62" s="136">
        <v>31</v>
      </c>
      <c r="I62" s="27" t="s">
        <v>671</v>
      </c>
      <c r="J62" s="28">
        <v>2900</v>
      </c>
      <c r="K62" s="38" t="s">
        <v>1263</v>
      </c>
      <c r="L62" s="39">
        <v>32</v>
      </c>
      <c r="M62" s="42">
        <f t="shared" si="1"/>
        <v>5.6160000000000009E-2</v>
      </c>
      <c r="N62" s="184"/>
      <c r="O62" s="184">
        <v>1314.7596000000001</v>
      </c>
      <c r="S62" s="64"/>
    </row>
    <row r="63" spans="2:19" ht="15.75" thickBot="1">
      <c r="B63" s="2"/>
      <c r="C63" s="13" t="s">
        <v>1758</v>
      </c>
      <c r="D63" s="14">
        <v>4</v>
      </c>
      <c r="E63" s="15">
        <v>5.5</v>
      </c>
      <c r="F63" s="27">
        <v>24</v>
      </c>
      <c r="G63" s="28">
        <v>34.5</v>
      </c>
      <c r="H63" s="136">
        <v>40</v>
      </c>
      <c r="I63" s="27" t="s">
        <v>671</v>
      </c>
      <c r="J63" s="28">
        <v>2900</v>
      </c>
      <c r="K63" s="38" t="s">
        <v>1263</v>
      </c>
      <c r="L63" s="39">
        <v>39</v>
      </c>
      <c r="M63" s="42">
        <f t="shared" si="1"/>
        <v>5.6160000000000009E-2</v>
      </c>
      <c r="N63" s="184"/>
      <c r="O63" s="184">
        <v>1508.65344</v>
      </c>
      <c r="S63" s="64"/>
    </row>
    <row r="64" spans="2:19" ht="15.75" thickBot="1">
      <c r="B64" s="2"/>
      <c r="C64" s="13" t="s">
        <v>1759</v>
      </c>
      <c r="D64" s="14">
        <v>5.5</v>
      </c>
      <c r="E64" s="15">
        <v>7.5</v>
      </c>
      <c r="F64" s="27">
        <v>24</v>
      </c>
      <c r="G64" s="28">
        <v>41</v>
      </c>
      <c r="H64" s="136">
        <v>47</v>
      </c>
      <c r="I64" s="27" t="s">
        <v>671</v>
      </c>
      <c r="J64" s="28">
        <v>2900</v>
      </c>
      <c r="K64" s="38" t="s">
        <v>1263</v>
      </c>
      <c r="L64" s="39">
        <v>53</v>
      </c>
      <c r="M64" s="42">
        <f t="shared" ref="M64:M70" si="2">0.52*0.39*0.32</f>
        <v>6.4896000000000009E-2</v>
      </c>
      <c r="N64" s="184"/>
      <c r="O64" s="184">
        <v>2004.0123599999999</v>
      </c>
      <c r="S64" s="64"/>
    </row>
    <row r="65" spans="2:19" ht="15.75" thickBot="1">
      <c r="B65" s="2"/>
      <c r="C65" s="13" t="s">
        <v>1760</v>
      </c>
      <c r="D65" s="14">
        <v>7.5</v>
      </c>
      <c r="E65" s="15">
        <v>10</v>
      </c>
      <c r="F65" s="27">
        <v>24</v>
      </c>
      <c r="G65" s="28">
        <v>53.5</v>
      </c>
      <c r="H65" s="136">
        <v>58</v>
      </c>
      <c r="I65" s="27" t="s">
        <v>671</v>
      </c>
      <c r="J65" s="28">
        <v>2900</v>
      </c>
      <c r="K65" s="38" t="s">
        <v>1263</v>
      </c>
      <c r="L65" s="39">
        <v>61</v>
      </c>
      <c r="M65" s="42">
        <f t="shared" si="2"/>
        <v>6.4896000000000009E-2</v>
      </c>
      <c r="N65" s="184"/>
      <c r="O65" s="184">
        <v>2106.6034500000001</v>
      </c>
      <c r="S65" s="64"/>
    </row>
    <row r="66" spans="2:19" ht="15.75" thickBot="1">
      <c r="B66" s="2"/>
      <c r="C66" s="13" t="s">
        <v>1761</v>
      </c>
      <c r="D66" s="14">
        <v>11</v>
      </c>
      <c r="E66" s="15">
        <v>15</v>
      </c>
      <c r="F66" s="27">
        <v>24</v>
      </c>
      <c r="G66" s="28">
        <v>68.5</v>
      </c>
      <c r="H66" s="136">
        <v>72</v>
      </c>
      <c r="I66" s="27" t="s">
        <v>671</v>
      </c>
      <c r="J66" s="28">
        <v>2900</v>
      </c>
      <c r="K66" s="38" t="s">
        <v>1263</v>
      </c>
      <c r="L66" s="39">
        <v>74</v>
      </c>
      <c r="M66" s="42">
        <f>0.61*0.45*0.32</f>
        <v>8.7840000000000015E-2</v>
      </c>
      <c r="N66" s="184"/>
      <c r="O66" s="184">
        <v>2832.0453000000002</v>
      </c>
      <c r="S66" s="64"/>
    </row>
    <row r="67" spans="2:19" ht="15.75" thickBot="1">
      <c r="B67" s="2"/>
      <c r="C67" s="13" t="s">
        <v>1762</v>
      </c>
      <c r="D67" s="14">
        <v>3</v>
      </c>
      <c r="E67" s="15">
        <v>4</v>
      </c>
      <c r="F67" s="27">
        <v>36</v>
      </c>
      <c r="G67" s="28">
        <v>18.399999999999999</v>
      </c>
      <c r="H67" s="136">
        <v>22</v>
      </c>
      <c r="I67" s="27" t="s">
        <v>680</v>
      </c>
      <c r="J67" s="28">
        <v>2900</v>
      </c>
      <c r="K67" s="38" t="s">
        <v>1263</v>
      </c>
      <c r="L67" s="39">
        <v>33</v>
      </c>
      <c r="M67" s="42">
        <f>0.45*0.39*0.32</f>
        <v>5.6160000000000009E-2</v>
      </c>
      <c r="N67" s="184"/>
      <c r="O67" s="184">
        <v>1362.5690400000001</v>
      </c>
      <c r="S67" s="64"/>
    </row>
    <row r="68" spans="2:19" ht="15.75" thickBot="1">
      <c r="B68" s="2"/>
      <c r="C68" s="13" t="s">
        <v>1763</v>
      </c>
      <c r="D68" s="14">
        <v>4</v>
      </c>
      <c r="E68" s="15">
        <v>5.5</v>
      </c>
      <c r="F68" s="27">
        <v>36</v>
      </c>
      <c r="G68" s="28">
        <v>24</v>
      </c>
      <c r="H68" s="136">
        <v>26.5</v>
      </c>
      <c r="I68" s="27" t="s">
        <v>680</v>
      </c>
      <c r="J68" s="28">
        <v>2900</v>
      </c>
      <c r="K68" s="38" t="s">
        <v>1263</v>
      </c>
      <c r="L68" s="39">
        <v>39</v>
      </c>
      <c r="M68" s="42">
        <f>0.45*0.39*0.32</f>
        <v>5.6160000000000009E-2</v>
      </c>
      <c r="N68" s="184"/>
      <c r="O68" s="184">
        <v>1556.46288</v>
      </c>
      <c r="S68" s="64"/>
    </row>
    <row r="69" spans="2:19" ht="15.75" thickBot="1">
      <c r="B69" s="2"/>
      <c r="C69" s="13" t="s">
        <v>1764</v>
      </c>
      <c r="D69" s="14">
        <v>5.5</v>
      </c>
      <c r="E69" s="15">
        <v>7.5</v>
      </c>
      <c r="F69" s="27">
        <v>42</v>
      </c>
      <c r="G69" s="28">
        <v>27</v>
      </c>
      <c r="H69" s="136">
        <v>33</v>
      </c>
      <c r="I69" s="27" t="s">
        <v>680</v>
      </c>
      <c r="J69" s="28">
        <v>2900</v>
      </c>
      <c r="K69" s="38" t="s">
        <v>1263</v>
      </c>
      <c r="L69" s="39">
        <v>54</v>
      </c>
      <c r="M69" s="42">
        <f t="shared" si="2"/>
        <v>6.4896000000000009E-2</v>
      </c>
      <c r="N69" s="184"/>
      <c r="O69" s="184">
        <v>2060.1220499999999</v>
      </c>
      <c r="S69" s="64"/>
    </row>
    <row r="70" spans="2:19" ht="15.75" thickBot="1">
      <c r="B70" s="2"/>
      <c r="C70" s="13" t="s">
        <v>1765</v>
      </c>
      <c r="D70" s="14">
        <v>7.5</v>
      </c>
      <c r="E70" s="15">
        <v>10</v>
      </c>
      <c r="F70" s="27">
        <v>42</v>
      </c>
      <c r="G70" s="28">
        <v>35</v>
      </c>
      <c r="H70" s="136">
        <v>40</v>
      </c>
      <c r="I70" s="27" t="s">
        <v>680</v>
      </c>
      <c r="J70" s="28">
        <v>2900</v>
      </c>
      <c r="K70" s="38" t="s">
        <v>1263</v>
      </c>
      <c r="L70" s="39">
        <v>60</v>
      </c>
      <c r="M70" s="42">
        <f t="shared" si="2"/>
        <v>6.4896000000000009E-2</v>
      </c>
      <c r="N70" s="184"/>
      <c r="O70" s="184">
        <v>2101.2912900000001</v>
      </c>
      <c r="S70" s="64"/>
    </row>
    <row r="71" spans="2:19" ht="15.75" thickBot="1">
      <c r="B71" s="2"/>
      <c r="C71" s="13" t="s">
        <v>1766</v>
      </c>
      <c r="D71" s="14">
        <v>9.1999999999999993</v>
      </c>
      <c r="E71" s="15">
        <v>12.5</v>
      </c>
      <c r="F71" s="27">
        <v>42</v>
      </c>
      <c r="G71" s="28">
        <v>47.5</v>
      </c>
      <c r="H71" s="136">
        <v>53</v>
      </c>
      <c r="I71" s="27" t="s">
        <v>680</v>
      </c>
      <c r="J71" s="28">
        <v>2900</v>
      </c>
      <c r="K71" s="38" t="s">
        <v>1263</v>
      </c>
      <c r="L71" s="39">
        <v>68</v>
      </c>
      <c r="M71" s="42">
        <f>0.61*0.45*0.32</f>
        <v>8.7840000000000015E-2</v>
      </c>
      <c r="N71" s="184"/>
      <c r="O71" s="184">
        <v>2386.8198900000002</v>
      </c>
      <c r="S71" s="64"/>
    </row>
    <row r="72" spans="2:19" ht="15.75" thickBot="1">
      <c r="B72" s="2"/>
      <c r="C72" s="13" t="s">
        <v>1767</v>
      </c>
      <c r="D72" s="14">
        <v>11</v>
      </c>
      <c r="E72" s="15">
        <v>15</v>
      </c>
      <c r="F72" s="27">
        <v>54</v>
      </c>
      <c r="G72" s="28">
        <v>51</v>
      </c>
      <c r="H72" s="136">
        <v>59</v>
      </c>
      <c r="I72" s="27" t="s">
        <v>680</v>
      </c>
      <c r="J72" s="28">
        <v>2900</v>
      </c>
      <c r="K72" s="38" t="s">
        <v>1263</v>
      </c>
      <c r="L72" s="39">
        <v>74</v>
      </c>
      <c r="M72" s="42">
        <f>0.61*0.45*0.32</f>
        <v>8.7840000000000015E-2</v>
      </c>
      <c r="N72" s="184"/>
      <c r="O72" s="184">
        <v>2791.2080700000006</v>
      </c>
      <c r="S72" s="64"/>
    </row>
    <row r="73" spans="2:19" ht="15.75" thickBot="1">
      <c r="B73" s="2"/>
      <c r="C73" s="13" t="s">
        <v>1768</v>
      </c>
      <c r="D73" s="14">
        <v>15</v>
      </c>
      <c r="E73" s="15">
        <v>20</v>
      </c>
      <c r="F73" s="27">
        <v>54</v>
      </c>
      <c r="G73" s="28">
        <v>65</v>
      </c>
      <c r="H73" s="136">
        <v>72</v>
      </c>
      <c r="I73" s="27" t="s">
        <v>680</v>
      </c>
      <c r="J73" s="28">
        <v>2900</v>
      </c>
      <c r="K73" s="38" t="s">
        <v>1263</v>
      </c>
      <c r="L73" s="39">
        <v>104</v>
      </c>
      <c r="M73" s="42">
        <f>0.74*0.47*0.32</f>
        <v>0.11129600000000001</v>
      </c>
      <c r="N73" s="184"/>
      <c r="O73" s="184">
        <v>2967.8373900000001</v>
      </c>
      <c r="S73" s="64"/>
    </row>
    <row r="74" spans="2:19" ht="15.75" thickBot="1">
      <c r="B74" s="2"/>
      <c r="C74" s="13" t="s">
        <v>1769</v>
      </c>
      <c r="D74" s="14">
        <v>4</v>
      </c>
      <c r="E74" s="15">
        <v>5.5</v>
      </c>
      <c r="F74" s="27">
        <v>54</v>
      </c>
      <c r="G74" s="28">
        <v>17.3</v>
      </c>
      <c r="H74" s="136">
        <v>22.2</v>
      </c>
      <c r="I74" s="27" t="s">
        <v>689</v>
      </c>
      <c r="J74" s="28">
        <v>2900</v>
      </c>
      <c r="K74" s="38" t="s">
        <v>1263</v>
      </c>
      <c r="L74" s="39">
        <v>44</v>
      </c>
      <c r="M74" s="42">
        <f>0.45*0.39*0.32</f>
        <v>5.6160000000000009E-2</v>
      </c>
      <c r="N74" s="184"/>
      <c r="O74" s="184">
        <v>1529.9020800000001</v>
      </c>
      <c r="S74" s="64"/>
    </row>
    <row r="75" spans="2:19" ht="15.75" thickBot="1">
      <c r="B75" s="2"/>
      <c r="C75" s="13" t="s">
        <v>1770</v>
      </c>
      <c r="D75" s="14">
        <v>5.5</v>
      </c>
      <c r="E75" s="15">
        <v>7.5</v>
      </c>
      <c r="F75" s="27">
        <v>72</v>
      </c>
      <c r="G75" s="28">
        <v>18.5</v>
      </c>
      <c r="H75" s="136">
        <v>27</v>
      </c>
      <c r="I75" s="27" t="s">
        <v>689</v>
      </c>
      <c r="J75" s="28">
        <v>2900</v>
      </c>
      <c r="K75" s="38" t="s">
        <v>1263</v>
      </c>
      <c r="L75" s="39">
        <v>57</v>
      </c>
      <c r="M75" s="42">
        <f>0.52*0.39*0.32</f>
        <v>6.4896000000000009E-2</v>
      </c>
      <c r="N75" s="184"/>
      <c r="O75" s="184">
        <v>2044.1855700000006</v>
      </c>
      <c r="S75" s="64"/>
    </row>
    <row r="76" spans="2:19" ht="15.75" thickBot="1">
      <c r="B76" s="2"/>
      <c r="C76" s="13" t="s">
        <v>1771</v>
      </c>
      <c r="D76" s="14">
        <v>7.5</v>
      </c>
      <c r="E76" s="15">
        <v>10</v>
      </c>
      <c r="F76" s="27">
        <v>72</v>
      </c>
      <c r="G76" s="28">
        <v>24</v>
      </c>
      <c r="H76" s="136">
        <v>32</v>
      </c>
      <c r="I76" s="27" t="s">
        <v>689</v>
      </c>
      <c r="J76" s="28">
        <v>2900</v>
      </c>
      <c r="K76" s="38" t="s">
        <v>1263</v>
      </c>
      <c r="L76" s="39">
        <v>63</v>
      </c>
      <c r="M76" s="42">
        <f>0.52*0.39*0.32</f>
        <v>6.4896000000000009E-2</v>
      </c>
      <c r="N76" s="184"/>
      <c r="O76" s="184">
        <v>2140.1364599999997</v>
      </c>
      <c r="S76" s="64"/>
    </row>
    <row r="77" spans="2:19" ht="15.75" thickBot="1">
      <c r="B77" s="2"/>
      <c r="C77" s="13" t="s">
        <v>1772</v>
      </c>
      <c r="D77" s="14">
        <v>9.1999999999999993</v>
      </c>
      <c r="E77" s="15">
        <v>12.5</v>
      </c>
      <c r="F77" s="27">
        <v>114</v>
      </c>
      <c r="G77" s="28">
        <v>21.1</v>
      </c>
      <c r="H77" s="136">
        <v>36.5</v>
      </c>
      <c r="I77" s="27" t="s">
        <v>689</v>
      </c>
      <c r="J77" s="28">
        <v>2900</v>
      </c>
      <c r="K77" s="38" t="s">
        <v>1263</v>
      </c>
      <c r="L77" s="39">
        <v>73</v>
      </c>
      <c r="M77" s="42">
        <f>0.61*0.45*0.32</f>
        <v>8.7840000000000015E-2</v>
      </c>
      <c r="N77" s="184"/>
      <c r="O77" s="184">
        <v>2333.3662799999997</v>
      </c>
      <c r="S77" s="64"/>
    </row>
    <row r="78" spans="2:19" ht="15.75" thickBot="1">
      <c r="B78" s="2"/>
      <c r="C78" s="13" t="s">
        <v>1773</v>
      </c>
      <c r="D78" s="14">
        <v>11</v>
      </c>
      <c r="E78" s="15">
        <v>15</v>
      </c>
      <c r="F78" s="27">
        <v>114</v>
      </c>
      <c r="G78" s="28">
        <v>25.8</v>
      </c>
      <c r="H78" s="136">
        <v>40.5</v>
      </c>
      <c r="I78" s="27" t="s">
        <v>689</v>
      </c>
      <c r="J78" s="28">
        <v>2900</v>
      </c>
      <c r="K78" s="38" t="s">
        <v>1263</v>
      </c>
      <c r="L78" s="39">
        <v>82</v>
      </c>
      <c r="M78" s="42">
        <f>0.61*0.45*0.32</f>
        <v>8.7840000000000015E-2</v>
      </c>
      <c r="N78" s="184"/>
      <c r="O78" s="184">
        <v>2864.2502700000005</v>
      </c>
      <c r="S78" s="64"/>
    </row>
    <row r="79" spans="2:19" ht="15.75" thickBot="1">
      <c r="B79" s="2"/>
      <c r="C79" s="13" t="s">
        <v>1774</v>
      </c>
      <c r="D79" s="14">
        <v>15</v>
      </c>
      <c r="E79" s="15">
        <v>20</v>
      </c>
      <c r="F79" s="27">
        <v>114</v>
      </c>
      <c r="G79" s="28">
        <v>32.6</v>
      </c>
      <c r="H79" s="136">
        <v>48</v>
      </c>
      <c r="I79" s="27" t="s">
        <v>689</v>
      </c>
      <c r="J79" s="28">
        <v>2900</v>
      </c>
      <c r="K79" s="38" t="s">
        <v>1263</v>
      </c>
      <c r="L79" s="39">
        <v>101</v>
      </c>
      <c r="M79" s="42">
        <f>0.74*0.47*0.32</f>
        <v>0.11129600000000001</v>
      </c>
      <c r="N79" s="184"/>
      <c r="O79" s="184">
        <v>3042.5396400000004</v>
      </c>
      <c r="S79" s="64"/>
    </row>
    <row r="80" spans="2:19" ht="15.75" thickBot="1">
      <c r="B80" s="2"/>
      <c r="C80" s="13" t="s">
        <v>1775</v>
      </c>
      <c r="D80" s="14">
        <v>15</v>
      </c>
      <c r="E80" s="15">
        <v>20</v>
      </c>
      <c r="F80" s="27">
        <v>114</v>
      </c>
      <c r="G80" s="28">
        <v>35.299999999999997</v>
      </c>
      <c r="H80" s="136">
        <v>53.5</v>
      </c>
      <c r="I80" s="27" t="s">
        <v>689</v>
      </c>
      <c r="J80" s="28">
        <v>2900</v>
      </c>
      <c r="K80" s="38" t="s">
        <v>1263</v>
      </c>
      <c r="L80" s="39">
        <v>124</v>
      </c>
      <c r="M80" s="42">
        <f>0.75*0.52*0.37</f>
        <v>0.14430000000000001</v>
      </c>
      <c r="N80" s="184"/>
      <c r="O80" s="184">
        <v>3042.5396400000004</v>
      </c>
      <c r="S80" s="64"/>
    </row>
    <row r="81" spans="2:19" ht="15.75" thickBot="1">
      <c r="B81" s="2"/>
      <c r="C81" s="13" t="s">
        <v>1776</v>
      </c>
      <c r="D81" s="14">
        <v>18.5</v>
      </c>
      <c r="E81" s="15">
        <v>25</v>
      </c>
      <c r="F81" s="27">
        <v>114</v>
      </c>
      <c r="G81" s="28">
        <v>43</v>
      </c>
      <c r="H81" s="136">
        <v>60.5</v>
      </c>
      <c r="I81" s="27" t="s">
        <v>689</v>
      </c>
      <c r="J81" s="28">
        <v>2900</v>
      </c>
      <c r="K81" s="38" t="s">
        <v>1263</v>
      </c>
      <c r="L81" s="39">
        <v>137</v>
      </c>
      <c r="M81" s="42">
        <f>0.75*0.52*0.37</f>
        <v>0.14430000000000001</v>
      </c>
      <c r="N81" s="184"/>
      <c r="O81" s="184">
        <v>4137.1766099999995</v>
      </c>
      <c r="S81" s="64"/>
    </row>
    <row r="82" spans="2:19" ht="15.75" thickBot="1">
      <c r="B82" s="2"/>
      <c r="C82" s="13" t="s">
        <v>1777</v>
      </c>
      <c r="D82" s="14">
        <v>22</v>
      </c>
      <c r="E82" s="15">
        <v>30</v>
      </c>
      <c r="F82" s="27">
        <v>126</v>
      </c>
      <c r="G82" s="28">
        <v>48</v>
      </c>
      <c r="H82" s="136">
        <v>67</v>
      </c>
      <c r="I82" s="27" t="s">
        <v>689</v>
      </c>
      <c r="J82" s="28">
        <v>2900</v>
      </c>
      <c r="K82" s="38" t="s">
        <v>1263</v>
      </c>
      <c r="L82" s="39">
        <v>146</v>
      </c>
      <c r="M82" s="42">
        <f>0.75*0.52*0.37</f>
        <v>0.14430000000000001</v>
      </c>
      <c r="N82" s="184"/>
      <c r="O82" s="184">
        <v>5050.5361200000007</v>
      </c>
      <c r="S82" s="64"/>
    </row>
    <row r="83" spans="2:19" ht="15.75" thickBot="1">
      <c r="B83" s="2"/>
      <c r="C83" s="13" t="s">
        <v>1778</v>
      </c>
      <c r="D83" s="14">
        <v>11</v>
      </c>
      <c r="E83" s="15">
        <v>15</v>
      </c>
      <c r="F83" s="27">
        <v>132</v>
      </c>
      <c r="G83" s="28">
        <v>22.4</v>
      </c>
      <c r="H83" s="136">
        <v>29</v>
      </c>
      <c r="I83" s="27" t="s">
        <v>699</v>
      </c>
      <c r="J83" s="28">
        <v>2900</v>
      </c>
      <c r="K83" s="38" t="s">
        <v>1263</v>
      </c>
      <c r="L83" s="39">
        <v>95</v>
      </c>
      <c r="M83" s="42">
        <f>0.72*0.52*0.37</f>
        <v>0.13852800000000001</v>
      </c>
      <c r="N83" s="184"/>
      <c r="O83" s="184">
        <v>2861.5941900000003</v>
      </c>
      <c r="S83" s="64"/>
    </row>
    <row r="84" spans="2:19" ht="15.75" thickBot="1">
      <c r="B84" s="2"/>
      <c r="C84" s="13" t="s">
        <v>1779</v>
      </c>
      <c r="D84" s="14">
        <v>15</v>
      </c>
      <c r="E84" s="15">
        <v>20</v>
      </c>
      <c r="F84" s="27">
        <v>138</v>
      </c>
      <c r="G84" s="28">
        <v>29.4</v>
      </c>
      <c r="H84" s="136">
        <v>35</v>
      </c>
      <c r="I84" s="27" t="s">
        <v>699</v>
      </c>
      <c r="J84" s="28">
        <v>2900</v>
      </c>
      <c r="K84" s="38" t="s">
        <v>1263</v>
      </c>
      <c r="L84" s="39">
        <v>130</v>
      </c>
      <c r="M84" s="42">
        <f>0.85*0.52*0.37</f>
        <v>0.16353999999999999</v>
      </c>
      <c r="N84" s="184"/>
      <c r="O84" s="184">
        <v>3114.58581</v>
      </c>
      <c r="S84" s="64"/>
    </row>
    <row r="85" spans="2:19" ht="15.75" thickBot="1">
      <c r="B85" s="2"/>
      <c r="C85" s="13" t="s">
        <v>1780</v>
      </c>
      <c r="D85" s="14">
        <v>18.5</v>
      </c>
      <c r="E85" s="15">
        <v>25</v>
      </c>
      <c r="F85" s="27">
        <v>150</v>
      </c>
      <c r="G85" s="28">
        <v>33.5</v>
      </c>
      <c r="H85" s="136">
        <v>40</v>
      </c>
      <c r="I85" s="27" t="s">
        <v>699</v>
      </c>
      <c r="J85" s="28">
        <v>2900</v>
      </c>
      <c r="K85" s="38" t="s">
        <v>1263</v>
      </c>
      <c r="L85" s="39">
        <v>146</v>
      </c>
      <c r="M85" s="42">
        <f>0.85*0.52*0.37</f>
        <v>0.16353999999999999</v>
      </c>
      <c r="N85" s="184"/>
      <c r="O85" s="184">
        <v>4087.3751099999995</v>
      </c>
      <c r="S85" s="64"/>
    </row>
    <row r="86" spans="2:19" ht="15.75" thickBot="1">
      <c r="B86" s="2"/>
      <c r="C86" s="13" t="s">
        <v>1781</v>
      </c>
      <c r="D86" s="14">
        <v>22</v>
      </c>
      <c r="E86" s="15">
        <v>30</v>
      </c>
      <c r="F86" s="27">
        <v>138</v>
      </c>
      <c r="G86" s="28">
        <v>41</v>
      </c>
      <c r="H86" s="136">
        <v>50</v>
      </c>
      <c r="I86" s="27" t="s">
        <v>699</v>
      </c>
      <c r="J86" s="28">
        <v>2900</v>
      </c>
      <c r="K86" s="38" t="s">
        <v>1263</v>
      </c>
      <c r="L86" s="39">
        <v>200</v>
      </c>
      <c r="M86" s="42">
        <f>0.94*0.56*0.42</f>
        <v>0.22108799999999998</v>
      </c>
      <c r="N86" s="184"/>
      <c r="O86" s="184">
        <v>5081.4130500000001</v>
      </c>
      <c r="S86" s="64"/>
    </row>
    <row r="87" spans="2:19" ht="15.75" thickBot="1">
      <c r="B87" s="2"/>
      <c r="C87" s="13" t="s">
        <v>1782</v>
      </c>
      <c r="D87" s="14">
        <v>30</v>
      </c>
      <c r="E87" s="15">
        <v>40</v>
      </c>
      <c r="F87" s="27">
        <v>150</v>
      </c>
      <c r="G87" s="28">
        <v>51</v>
      </c>
      <c r="H87" s="136">
        <v>60</v>
      </c>
      <c r="I87" s="27" t="s">
        <v>699</v>
      </c>
      <c r="J87" s="28">
        <v>2900</v>
      </c>
      <c r="K87" s="38" t="s">
        <v>1263</v>
      </c>
      <c r="L87" s="39">
        <v>282</v>
      </c>
      <c r="M87" s="42">
        <f>1.01*0.56*0.42</f>
        <v>0.23755200000000004</v>
      </c>
      <c r="N87" s="184"/>
      <c r="O87" s="184">
        <v>6486.47937</v>
      </c>
      <c r="S87" s="64"/>
    </row>
    <row r="88" spans="2:19" ht="15.75" thickBot="1">
      <c r="B88" s="2"/>
      <c r="C88" s="13" t="s">
        <v>1783</v>
      </c>
      <c r="D88" s="14">
        <v>37</v>
      </c>
      <c r="E88" s="15">
        <v>50</v>
      </c>
      <c r="F88" s="27">
        <v>150</v>
      </c>
      <c r="G88" s="28">
        <v>56.5</v>
      </c>
      <c r="H88" s="136">
        <v>66</v>
      </c>
      <c r="I88" s="27" t="s">
        <v>699</v>
      </c>
      <c r="J88" s="28">
        <v>2900</v>
      </c>
      <c r="K88" s="38" t="s">
        <v>1263</v>
      </c>
      <c r="L88" s="39">
        <v>302</v>
      </c>
      <c r="M88" s="42">
        <f>1.01*0.56*0.42</f>
        <v>0.23755200000000004</v>
      </c>
      <c r="N88" s="184"/>
      <c r="O88" s="184">
        <v>6938.6769900000018</v>
      </c>
      <c r="S88" s="64"/>
    </row>
    <row r="89" spans="2:19" ht="15.75" thickBot="1">
      <c r="C89" s="13" t="s">
        <v>2961</v>
      </c>
      <c r="D89" s="14">
        <v>18.5</v>
      </c>
      <c r="E89" s="15">
        <v>25</v>
      </c>
      <c r="F89" s="27">
        <v>200</v>
      </c>
      <c r="G89" s="28">
        <v>23</v>
      </c>
      <c r="H89" s="136">
        <v>31</v>
      </c>
      <c r="I89" s="27" t="s">
        <v>1285</v>
      </c>
      <c r="J89" s="28">
        <v>2900</v>
      </c>
      <c r="K89" s="38" t="s">
        <v>1263</v>
      </c>
      <c r="L89" s="39">
        <v>180</v>
      </c>
      <c r="M89" s="42">
        <f>0.86*0.44*0.6</f>
        <v>0.22703999999999999</v>
      </c>
      <c r="N89" s="184"/>
      <c r="O89" s="184">
        <v>4811.7258802800006</v>
      </c>
      <c r="S89" s="64"/>
    </row>
    <row r="90" spans="2:19" ht="15.75" thickBot="1">
      <c r="C90" s="13" t="s">
        <v>2962</v>
      </c>
      <c r="D90" s="14">
        <v>22</v>
      </c>
      <c r="E90" s="15">
        <v>30</v>
      </c>
      <c r="F90" s="27">
        <v>200</v>
      </c>
      <c r="G90" s="28">
        <v>27</v>
      </c>
      <c r="H90" s="136">
        <v>34</v>
      </c>
      <c r="I90" s="27" t="s">
        <v>1285</v>
      </c>
      <c r="J90" s="28">
        <v>2900</v>
      </c>
      <c r="K90" s="38" t="s">
        <v>1263</v>
      </c>
      <c r="L90" s="39">
        <v>203</v>
      </c>
      <c r="M90" s="42">
        <f>0.86*0.44*0.6</f>
        <v>0.22703999999999999</v>
      </c>
      <c r="N90" s="184"/>
      <c r="O90" s="184">
        <v>6000.3061232400014</v>
      </c>
      <c r="S90" s="64"/>
    </row>
    <row r="91" spans="2:19" ht="15.75" thickBot="1">
      <c r="C91" s="13" t="s">
        <v>2963</v>
      </c>
      <c r="D91" s="14">
        <v>30</v>
      </c>
      <c r="E91" s="15">
        <v>40</v>
      </c>
      <c r="F91" s="27">
        <v>200</v>
      </c>
      <c r="G91" s="28">
        <v>32</v>
      </c>
      <c r="H91" s="136">
        <v>38</v>
      </c>
      <c r="I91" s="27" t="s">
        <v>1285</v>
      </c>
      <c r="J91" s="28">
        <v>2900</v>
      </c>
      <c r="K91" s="38" t="s">
        <v>1263</v>
      </c>
      <c r="L91" s="39">
        <v>260</v>
      </c>
      <c r="M91" s="42">
        <f>0.93*0.48*0.65</f>
        <v>0.29016000000000003</v>
      </c>
      <c r="N91" s="184"/>
      <c r="O91" s="184">
        <v>7092.6584850000008</v>
      </c>
      <c r="S91" s="64"/>
    </row>
    <row r="92" spans="2:19" ht="15.75" thickBot="1">
      <c r="C92" s="13" t="s">
        <v>2964</v>
      </c>
      <c r="D92" s="14">
        <v>37</v>
      </c>
      <c r="E92" s="15">
        <v>50</v>
      </c>
      <c r="F92" s="27">
        <v>200</v>
      </c>
      <c r="G92" s="28">
        <v>40</v>
      </c>
      <c r="H92" s="136">
        <v>43</v>
      </c>
      <c r="I92" s="27" t="s">
        <v>1285</v>
      </c>
      <c r="J92" s="28">
        <v>2900</v>
      </c>
      <c r="K92" s="38" t="s">
        <v>1263</v>
      </c>
      <c r="L92" s="39">
        <v>285</v>
      </c>
      <c r="M92" s="42">
        <f>0.93*0.48*0.65</f>
        <v>0.29016000000000003</v>
      </c>
      <c r="N92" s="184"/>
      <c r="O92" s="184">
        <v>7959.3730563600011</v>
      </c>
      <c r="S92" s="64"/>
    </row>
    <row r="93" spans="2:19" ht="15.75" thickBot="1">
      <c r="C93" s="13" t="s">
        <v>2965</v>
      </c>
      <c r="D93" s="14">
        <v>45</v>
      </c>
      <c r="E93" s="15">
        <v>60</v>
      </c>
      <c r="F93" s="27">
        <v>200</v>
      </c>
      <c r="G93" s="28">
        <v>48</v>
      </c>
      <c r="H93" s="136">
        <v>51</v>
      </c>
      <c r="I93" s="27" t="s">
        <v>1285</v>
      </c>
      <c r="J93" s="28">
        <v>2900</v>
      </c>
      <c r="K93" s="38" t="s">
        <v>1263</v>
      </c>
      <c r="L93" s="39">
        <v>385</v>
      </c>
      <c r="M93" s="42">
        <f>1*0.54*0.73</f>
        <v>0.39419999999999999</v>
      </c>
      <c r="N93" s="184"/>
      <c r="O93" s="184">
        <v>10581.416908920002</v>
      </c>
      <c r="S93" s="64"/>
    </row>
    <row r="94" spans="2:19" ht="15.75" thickBot="1">
      <c r="C94" s="13" t="s">
        <v>2966</v>
      </c>
      <c r="D94" s="14">
        <v>55</v>
      </c>
      <c r="E94" s="15">
        <v>75</v>
      </c>
      <c r="F94" s="27">
        <v>200</v>
      </c>
      <c r="G94" s="28">
        <v>56</v>
      </c>
      <c r="H94" s="136">
        <v>59</v>
      </c>
      <c r="I94" s="27" t="s">
        <v>1285</v>
      </c>
      <c r="J94" s="28">
        <v>2900</v>
      </c>
      <c r="K94" s="38" t="s">
        <v>1263</v>
      </c>
      <c r="L94" s="39">
        <v>440</v>
      </c>
      <c r="M94" s="42">
        <f>1.1*0.58*0.76</f>
        <v>0.48488000000000003</v>
      </c>
      <c r="N94" s="184"/>
      <c r="O94" s="241" t="s">
        <v>2971</v>
      </c>
      <c r="S94" s="64"/>
    </row>
    <row r="95" spans="2:19" ht="15.75" thickBot="1">
      <c r="C95" s="13" t="s">
        <v>2967</v>
      </c>
      <c r="D95" s="14">
        <v>45</v>
      </c>
      <c r="E95" s="15">
        <v>60</v>
      </c>
      <c r="F95" s="27">
        <v>320</v>
      </c>
      <c r="G95" s="28">
        <v>35</v>
      </c>
      <c r="H95" s="136">
        <v>41</v>
      </c>
      <c r="I95" s="27" t="s">
        <v>1296</v>
      </c>
      <c r="J95" s="28">
        <v>2900</v>
      </c>
      <c r="K95" s="38" t="s">
        <v>1263</v>
      </c>
      <c r="L95" s="39">
        <v>385</v>
      </c>
      <c r="M95" s="42">
        <f>1*0.54*0.73</f>
        <v>0.39419999999999999</v>
      </c>
      <c r="N95" s="184"/>
      <c r="O95" s="184">
        <v>10833.268501440003</v>
      </c>
      <c r="S95" s="64"/>
    </row>
    <row r="96" spans="2:19" ht="15.75" thickBot="1">
      <c r="C96" s="13" t="s">
        <v>2968</v>
      </c>
      <c r="D96" s="14">
        <v>55</v>
      </c>
      <c r="E96" s="15">
        <v>75</v>
      </c>
      <c r="F96" s="27">
        <v>320</v>
      </c>
      <c r="G96" s="28">
        <v>40</v>
      </c>
      <c r="H96" s="136">
        <v>45</v>
      </c>
      <c r="I96" s="27" t="s">
        <v>1296</v>
      </c>
      <c r="J96" s="28">
        <v>2900</v>
      </c>
      <c r="K96" s="38" t="s">
        <v>1263</v>
      </c>
      <c r="L96" s="39">
        <v>440</v>
      </c>
      <c r="M96" s="42">
        <f>1.1*0.58*0.76</f>
        <v>0.48488000000000003</v>
      </c>
      <c r="N96" s="184"/>
      <c r="O96" s="241" t="s">
        <v>2971</v>
      </c>
      <c r="S96" s="64"/>
    </row>
    <row r="97" spans="3:15" ht="15.75" thickBot="1">
      <c r="C97" s="13" t="s">
        <v>2969</v>
      </c>
      <c r="D97" s="14">
        <v>75</v>
      </c>
      <c r="E97" s="15">
        <v>100</v>
      </c>
      <c r="F97" s="27">
        <v>320</v>
      </c>
      <c r="G97" s="28">
        <v>50</v>
      </c>
      <c r="H97" s="136">
        <v>55</v>
      </c>
      <c r="I97" s="27" t="s">
        <v>1296</v>
      </c>
      <c r="J97" s="28">
        <v>2900</v>
      </c>
      <c r="K97" s="38" t="s">
        <v>1263</v>
      </c>
      <c r="L97" s="39">
        <v>580</v>
      </c>
      <c r="M97" s="42">
        <f>1.2*0.64*0.82</f>
        <v>0.62975999999999999</v>
      </c>
      <c r="N97" s="184"/>
      <c r="O97" s="241" t="s">
        <v>2971</v>
      </c>
    </row>
    <row r="98" spans="3:15" ht="15.75" thickBot="1">
      <c r="C98" s="13" t="s">
        <v>2970</v>
      </c>
      <c r="D98" s="14">
        <v>90</v>
      </c>
      <c r="E98" s="15">
        <v>125</v>
      </c>
      <c r="F98" s="27">
        <v>320</v>
      </c>
      <c r="G98" s="28">
        <v>58</v>
      </c>
      <c r="H98" s="136">
        <v>62</v>
      </c>
      <c r="I98" s="27" t="s">
        <v>1296</v>
      </c>
      <c r="J98" s="28">
        <v>2900</v>
      </c>
      <c r="K98" s="38" t="s">
        <v>1263</v>
      </c>
      <c r="L98" s="39">
        <v>628</v>
      </c>
      <c r="M98" s="42">
        <f>1.2*0.64*0.82</f>
        <v>0.62975999999999999</v>
      </c>
      <c r="N98" s="184"/>
      <c r="O98" s="241" t="s">
        <v>2971</v>
      </c>
    </row>
    <row r="99" spans="3:15" ht="15">
      <c r="C99" s="44" t="s">
        <v>1375</v>
      </c>
      <c r="D99" s="45" t="s">
        <v>1023</v>
      </c>
      <c r="E99" s="46"/>
      <c r="F99" s="51"/>
      <c r="G99" s="51"/>
      <c r="H99" s="51"/>
      <c r="I99" s="51"/>
      <c r="J99" s="51"/>
      <c r="K99" s="51"/>
      <c r="L99" s="51"/>
      <c r="M99" s="51"/>
      <c r="N99" s="107"/>
      <c r="O99" s="107"/>
    </row>
    <row r="100" spans="3:15" ht="15">
      <c r="C100" s="47" t="s">
        <v>1374</v>
      </c>
      <c r="D100" s="48" t="s">
        <v>1023</v>
      </c>
      <c r="E100" s="49"/>
      <c r="F100" s="52"/>
      <c r="G100" s="52"/>
      <c r="H100" s="52"/>
      <c r="I100" s="52"/>
      <c r="J100" s="52"/>
      <c r="K100" s="52"/>
      <c r="L100" s="52"/>
      <c r="M100" s="52"/>
      <c r="N100" s="52"/>
      <c r="O100" s="52"/>
    </row>
    <row r="101" spans="3:15" ht="15">
      <c r="C101" s="47" t="s">
        <v>1385</v>
      </c>
      <c r="D101" s="48" t="s">
        <v>705</v>
      </c>
      <c r="E101" s="49"/>
      <c r="F101" s="52"/>
      <c r="G101" s="52"/>
      <c r="H101" s="52"/>
      <c r="I101" s="52"/>
      <c r="J101" s="52"/>
      <c r="K101" s="52"/>
      <c r="L101" s="52"/>
      <c r="M101" s="52"/>
      <c r="N101" s="52"/>
      <c r="O101" s="52"/>
    </row>
    <row r="102" spans="3:15" ht="15">
      <c r="C102" s="60" t="s">
        <v>1377</v>
      </c>
      <c r="D102" s="56" t="s">
        <v>195</v>
      </c>
      <c r="E102" s="57"/>
      <c r="F102" s="58"/>
      <c r="G102" s="58"/>
      <c r="H102" s="58"/>
      <c r="I102" s="58"/>
      <c r="J102" s="58"/>
      <c r="K102" s="58"/>
      <c r="L102" s="58"/>
      <c r="M102" s="58"/>
      <c r="N102" s="58"/>
      <c r="O102" s="58"/>
    </row>
    <row r="103" spans="3:15" ht="15">
      <c r="C103" s="142" t="s">
        <v>1524</v>
      </c>
      <c r="D103" s="56" t="s">
        <v>1784</v>
      </c>
      <c r="E103" s="57"/>
      <c r="F103" s="58"/>
      <c r="G103" s="58"/>
      <c r="H103" s="58"/>
      <c r="I103" s="58"/>
      <c r="J103" s="58"/>
      <c r="K103" s="58"/>
      <c r="L103" s="58"/>
      <c r="M103" s="58"/>
      <c r="N103" s="58"/>
    </row>
  </sheetData>
  <mergeCells count="5">
    <mergeCell ref="C5:C6"/>
    <mergeCell ref="D5:E6"/>
    <mergeCell ref="F5:H5"/>
    <mergeCell ref="N5:O5"/>
    <mergeCell ref="N6:O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5">
    <tabColor theme="9" tint="0.39997558519241921"/>
  </sheetPr>
  <dimension ref="B3:M17"/>
  <sheetViews>
    <sheetView workbookViewId="0"/>
  </sheetViews>
  <sheetFormatPr defaultRowHeight="14.25"/>
  <cols>
    <col min="1" max="1" width="27" customWidth="1"/>
    <col min="2" max="2" width="13.125" customWidth="1"/>
  </cols>
  <sheetData>
    <row r="3" spans="2:13" ht="25.5">
      <c r="B3" s="53" t="s">
        <v>1163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3" t="s">
        <v>0</v>
      </c>
      <c r="C5" s="255" t="s">
        <v>1</v>
      </c>
      <c r="D5" s="253"/>
      <c r="E5" s="265" t="s">
        <v>2</v>
      </c>
      <c r="F5" s="265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9" t="s">
        <v>8</v>
      </c>
      <c r="M5" s="255"/>
    </row>
    <row r="6" spans="2:13" ht="15">
      <c r="B6" s="254"/>
      <c r="C6" s="256"/>
      <c r="D6" s="254"/>
      <c r="E6" s="20" t="s">
        <v>9</v>
      </c>
      <c r="F6" s="10" t="s">
        <v>10</v>
      </c>
      <c r="G6" s="21"/>
      <c r="H6" s="22"/>
      <c r="I6" s="32"/>
      <c r="J6" s="33"/>
      <c r="K6" s="33"/>
      <c r="L6" s="260" t="s">
        <v>11</v>
      </c>
      <c r="M6" s="261"/>
    </row>
    <row r="7" spans="2:13" ht="15.75" thickBot="1">
      <c r="B7" s="55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2:13" ht="15" thickBot="1">
      <c r="B8" s="13" t="s">
        <v>1164</v>
      </c>
      <c r="C8" s="14">
        <v>2.2000000000000002</v>
      </c>
      <c r="D8" s="15">
        <v>3</v>
      </c>
      <c r="E8" s="14">
        <v>90</v>
      </c>
      <c r="F8" s="15">
        <v>3.5</v>
      </c>
      <c r="G8" s="27">
        <v>150</v>
      </c>
      <c r="H8" s="28">
        <v>1450</v>
      </c>
      <c r="I8" s="38" t="s">
        <v>707</v>
      </c>
      <c r="J8" s="39">
        <v>65</v>
      </c>
      <c r="K8" s="40">
        <f>0.32*0.32*0.65</f>
        <v>6.6560000000000008E-2</v>
      </c>
      <c r="L8" s="41"/>
      <c r="M8" s="79">
        <v>1922.4449999999999</v>
      </c>
    </row>
    <row r="9" spans="2:13" ht="15" thickBot="1">
      <c r="B9" s="13" t="s">
        <v>1165</v>
      </c>
      <c r="C9" s="14">
        <v>5.5</v>
      </c>
      <c r="D9" s="15">
        <v>7.5</v>
      </c>
      <c r="E9" s="14">
        <v>150</v>
      </c>
      <c r="F9" s="15">
        <v>4</v>
      </c>
      <c r="G9" s="27">
        <v>200</v>
      </c>
      <c r="H9" s="28">
        <v>1450</v>
      </c>
      <c r="I9" s="38" t="s">
        <v>566</v>
      </c>
      <c r="J9" s="39">
        <v>140</v>
      </c>
      <c r="K9" s="40">
        <f>0.37*0.37*1.05</f>
        <v>0.14374500000000001</v>
      </c>
      <c r="L9" s="41"/>
      <c r="M9" s="79">
        <v>4529.259</v>
      </c>
    </row>
    <row r="10" spans="2:13" ht="15" thickBot="1">
      <c r="B10" s="13" t="s">
        <v>1166</v>
      </c>
      <c r="C10" s="14">
        <v>7.5</v>
      </c>
      <c r="D10" s="15">
        <v>10</v>
      </c>
      <c r="E10" s="14">
        <v>250</v>
      </c>
      <c r="F10" s="15">
        <v>4.8</v>
      </c>
      <c r="G10" s="27">
        <v>250</v>
      </c>
      <c r="H10" s="28">
        <v>1450</v>
      </c>
      <c r="I10" s="38" t="s">
        <v>566</v>
      </c>
      <c r="J10" s="39">
        <v>170</v>
      </c>
      <c r="K10" s="40">
        <f>0.41*0.41*1.08</f>
        <v>0.18154799999999999</v>
      </c>
      <c r="L10" s="41"/>
      <c r="M10" s="79">
        <v>5473.8810000000003</v>
      </c>
    </row>
    <row r="11" spans="2:13" ht="15" thickBot="1">
      <c r="B11" s="13" t="s">
        <v>1167</v>
      </c>
      <c r="C11" s="14">
        <v>11</v>
      </c>
      <c r="D11" s="15">
        <v>15</v>
      </c>
      <c r="E11" s="14">
        <v>300</v>
      </c>
      <c r="F11" s="15">
        <v>5.6</v>
      </c>
      <c r="G11" s="27">
        <v>300</v>
      </c>
      <c r="H11" s="28">
        <v>1450</v>
      </c>
      <c r="I11" s="38" t="s">
        <v>566</v>
      </c>
      <c r="J11" s="39">
        <v>190</v>
      </c>
      <c r="K11" s="40">
        <f>0.44*0.44*1.15</f>
        <v>0.22263999999999998</v>
      </c>
      <c r="L11" s="41"/>
      <c r="M11" s="79">
        <v>6418.86</v>
      </c>
    </row>
    <row r="12" spans="2:13" ht="23.25" thickBot="1">
      <c r="B12" s="8"/>
      <c r="C12" s="8"/>
      <c r="D12" s="8"/>
      <c r="E12" s="8"/>
      <c r="F12" s="8"/>
      <c r="G12" s="8"/>
      <c r="H12" s="1"/>
      <c r="I12" s="8"/>
      <c r="J12" s="1"/>
      <c r="K12" s="1"/>
      <c r="L12" s="8"/>
      <c r="M12" s="8"/>
    </row>
    <row r="13" spans="2:13" ht="15">
      <c r="B13" s="44" t="s">
        <v>190</v>
      </c>
      <c r="C13" s="45" t="s">
        <v>830</v>
      </c>
      <c r="D13" s="46"/>
      <c r="E13" s="51"/>
      <c r="F13" s="51"/>
      <c r="G13" s="51"/>
      <c r="H13" s="51"/>
      <c r="I13" s="51"/>
      <c r="J13" s="51"/>
      <c r="K13" s="51"/>
      <c r="L13" s="51"/>
      <c r="M13" s="51"/>
    </row>
    <row r="14" spans="2:13" ht="15">
      <c r="B14" s="47" t="s">
        <v>1161</v>
      </c>
      <c r="C14" s="48" t="s">
        <v>830</v>
      </c>
      <c r="D14" s="49"/>
      <c r="E14" s="52"/>
      <c r="F14" s="52"/>
      <c r="G14" s="52"/>
      <c r="H14" s="52"/>
      <c r="I14" s="52"/>
      <c r="J14" s="52"/>
      <c r="K14" s="52"/>
      <c r="L14" s="52"/>
      <c r="M14" s="52"/>
    </row>
    <row r="15" spans="2:13" ht="15">
      <c r="B15" s="47" t="s">
        <v>192</v>
      </c>
      <c r="C15" s="48" t="s">
        <v>1162</v>
      </c>
      <c r="D15" s="49"/>
      <c r="E15" s="52"/>
      <c r="F15" s="52"/>
      <c r="G15" s="52"/>
      <c r="H15" s="52"/>
      <c r="I15" s="52"/>
      <c r="J15" s="52"/>
      <c r="K15" s="52"/>
      <c r="L15" s="52"/>
      <c r="M15" s="52"/>
    </row>
    <row r="16" spans="2:13" ht="15">
      <c r="B16" s="47" t="s">
        <v>193</v>
      </c>
      <c r="C16" s="48" t="s">
        <v>898</v>
      </c>
      <c r="D16" s="49"/>
      <c r="E16" s="52"/>
      <c r="F16" s="52"/>
      <c r="G16" s="52"/>
      <c r="H16" s="52"/>
      <c r="I16" s="52"/>
      <c r="J16" s="52"/>
      <c r="K16" s="52"/>
      <c r="L16" s="52"/>
      <c r="M16" s="52"/>
    </row>
    <row r="17" spans="2:13" ht="15">
      <c r="B17" s="60" t="s">
        <v>194</v>
      </c>
      <c r="C17" s="56" t="s">
        <v>195</v>
      </c>
      <c r="D17" s="57"/>
      <c r="E17" s="58"/>
      <c r="F17" s="58"/>
      <c r="G17" s="58"/>
      <c r="H17" s="58"/>
      <c r="I17" s="58"/>
      <c r="J17" s="58"/>
      <c r="K17" s="58"/>
      <c r="L17" s="58"/>
      <c r="M17" s="58"/>
    </row>
  </sheetData>
  <mergeCells count="5">
    <mergeCell ref="B5:B6"/>
    <mergeCell ref="C5:D6"/>
    <mergeCell ref="E5:F5"/>
    <mergeCell ref="L5:M5"/>
    <mergeCell ref="L6:M6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6">
    <tabColor theme="4" tint="0.39997558519241921"/>
  </sheetPr>
  <dimension ref="B3:M43"/>
  <sheetViews>
    <sheetView workbookViewId="0"/>
  </sheetViews>
  <sheetFormatPr defaultRowHeight="14.25"/>
  <cols>
    <col min="1" max="1" width="36" customWidth="1"/>
    <col min="2" max="2" width="14.375" customWidth="1"/>
    <col min="3" max="3" width="12" customWidth="1"/>
    <col min="7" max="7" width="10.375" customWidth="1"/>
    <col min="12" max="12" width="13" customWidth="1"/>
    <col min="13" max="13" width="13.5" customWidth="1"/>
  </cols>
  <sheetData>
    <row r="3" spans="2:13" ht="27">
      <c r="B3" s="5" t="s">
        <v>531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3" t="s">
        <v>0</v>
      </c>
      <c r="C5" s="255" t="s">
        <v>1</v>
      </c>
      <c r="D5" s="253"/>
      <c r="E5" s="265" t="s">
        <v>2</v>
      </c>
      <c r="F5" s="265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9" t="s">
        <v>8</v>
      </c>
      <c r="M5" s="255"/>
    </row>
    <row r="6" spans="2:13" ht="15">
      <c r="B6" s="254"/>
      <c r="C6" s="256"/>
      <c r="D6" s="254"/>
      <c r="E6" s="20" t="s">
        <v>9</v>
      </c>
      <c r="F6" s="10" t="s">
        <v>10</v>
      </c>
      <c r="G6" s="21"/>
      <c r="H6" s="22"/>
      <c r="I6" s="32"/>
      <c r="J6" s="33"/>
      <c r="K6" s="33"/>
      <c r="L6" s="260" t="s">
        <v>11</v>
      </c>
      <c r="M6" s="261"/>
    </row>
    <row r="7" spans="2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2:13" ht="15" thickBot="1">
      <c r="B8" s="13" t="s">
        <v>532</v>
      </c>
      <c r="C8" s="14">
        <v>0.37</v>
      </c>
      <c r="D8" s="15">
        <v>0.5</v>
      </c>
      <c r="E8" s="14">
        <v>2</v>
      </c>
      <c r="F8" s="15">
        <v>15</v>
      </c>
      <c r="G8" s="27" t="s">
        <v>23</v>
      </c>
      <c r="H8" s="28">
        <v>2900</v>
      </c>
      <c r="I8" s="38" t="s">
        <v>24</v>
      </c>
      <c r="J8" s="39">
        <v>11</v>
      </c>
      <c r="K8" s="42">
        <f>0.345*0.172*0.238</f>
        <v>1.4122919999999997E-2</v>
      </c>
      <c r="L8" s="78">
        <v>254.541</v>
      </c>
      <c r="M8" s="78">
        <v>233.12099999999998</v>
      </c>
    </row>
    <row r="9" spans="2:13" ht="15" thickBot="1">
      <c r="B9" s="13" t="s">
        <v>533</v>
      </c>
      <c r="C9" s="14">
        <v>0.37</v>
      </c>
      <c r="D9" s="15">
        <v>0.5</v>
      </c>
      <c r="E9" s="14">
        <v>2</v>
      </c>
      <c r="F9" s="15">
        <v>22</v>
      </c>
      <c r="G9" s="27" t="s">
        <v>23</v>
      </c>
      <c r="H9" s="28">
        <v>2900</v>
      </c>
      <c r="I9" s="38" t="s">
        <v>26</v>
      </c>
      <c r="J9" s="39">
        <v>11</v>
      </c>
      <c r="K9" s="42">
        <f>0.345*0.172*0.238</f>
        <v>1.4122919999999997E-2</v>
      </c>
      <c r="L9" s="78">
        <v>263.46600000000001</v>
      </c>
      <c r="M9" s="78">
        <v>250.97099999999998</v>
      </c>
    </row>
    <row r="10" spans="2:13" ht="15" thickBot="1">
      <c r="B10" s="13" t="s">
        <v>534</v>
      </c>
      <c r="C10" s="14">
        <v>0.55000000000000004</v>
      </c>
      <c r="D10" s="15">
        <v>0.75</v>
      </c>
      <c r="E10" s="14">
        <v>2</v>
      </c>
      <c r="F10" s="15">
        <v>29</v>
      </c>
      <c r="G10" s="27" t="s">
        <v>23</v>
      </c>
      <c r="H10" s="28">
        <v>2900</v>
      </c>
      <c r="I10" s="38" t="s">
        <v>28</v>
      </c>
      <c r="J10" s="39">
        <v>12</v>
      </c>
      <c r="K10" s="42">
        <f>0.363*0.172*0.238</f>
        <v>1.4859767999999997E-2</v>
      </c>
      <c r="L10" s="78">
        <v>290.24100000000004</v>
      </c>
      <c r="M10" s="78">
        <v>286.67099999999999</v>
      </c>
    </row>
    <row r="11" spans="2:13" ht="15" thickBot="1">
      <c r="B11" s="13" t="s">
        <v>535</v>
      </c>
      <c r="C11" s="14">
        <v>0.55000000000000004</v>
      </c>
      <c r="D11" s="15">
        <v>0.75</v>
      </c>
      <c r="E11" s="14">
        <v>2</v>
      </c>
      <c r="F11" s="15">
        <v>36</v>
      </c>
      <c r="G11" s="27" t="s">
        <v>23</v>
      </c>
      <c r="H11" s="28">
        <v>2900</v>
      </c>
      <c r="I11" s="38" t="s">
        <v>30</v>
      </c>
      <c r="J11" s="39">
        <v>12</v>
      </c>
      <c r="K11" s="42">
        <f>0.381*0.172*0.238</f>
        <v>1.5596615999999997E-2</v>
      </c>
      <c r="L11" s="78">
        <v>322.37100000000004</v>
      </c>
      <c r="M11" s="78">
        <v>304.52100000000002</v>
      </c>
    </row>
    <row r="12" spans="2:13" ht="15" thickBot="1">
      <c r="B12" s="13" t="s">
        <v>536</v>
      </c>
      <c r="C12" s="14">
        <v>0.75</v>
      </c>
      <c r="D12" s="15">
        <v>1</v>
      </c>
      <c r="E12" s="14">
        <v>2</v>
      </c>
      <c r="F12" s="15">
        <v>44</v>
      </c>
      <c r="G12" s="27" t="s">
        <v>23</v>
      </c>
      <c r="H12" s="28">
        <v>2900</v>
      </c>
      <c r="I12" s="38" t="s">
        <v>32</v>
      </c>
      <c r="J12" s="39">
        <v>15</v>
      </c>
      <c r="K12" s="42">
        <f>0.399*0.172*0.255</f>
        <v>1.7500139999999997E-2</v>
      </c>
      <c r="L12" s="78">
        <v>374.13600000000002</v>
      </c>
      <c r="M12" s="78">
        <v>364.85399999999998</v>
      </c>
    </row>
    <row r="13" spans="2:13" ht="15" thickBot="1">
      <c r="B13" s="13" t="s">
        <v>537</v>
      </c>
      <c r="C13" s="14">
        <v>0.37</v>
      </c>
      <c r="D13" s="15">
        <v>0.5</v>
      </c>
      <c r="E13" s="14">
        <v>4</v>
      </c>
      <c r="F13" s="15">
        <v>15</v>
      </c>
      <c r="G13" s="27" t="s">
        <v>538</v>
      </c>
      <c r="H13" s="28">
        <v>2900</v>
      </c>
      <c r="I13" s="38" t="s">
        <v>24</v>
      </c>
      <c r="J13" s="39">
        <v>11</v>
      </c>
      <c r="K13" s="42">
        <f>0.345*0.172*0.238</f>
        <v>1.4122919999999997E-2</v>
      </c>
      <c r="L13" s="78">
        <v>257.04000000000002</v>
      </c>
      <c r="M13" s="78">
        <v>245.25900000000001</v>
      </c>
    </row>
    <row r="14" spans="2:13" ht="15" thickBot="1">
      <c r="B14" s="13" t="s">
        <v>539</v>
      </c>
      <c r="C14" s="14">
        <v>0.55000000000000004</v>
      </c>
      <c r="D14" s="15">
        <v>0.75</v>
      </c>
      <c r="E14" s="14">
        <v>4</v>
      </c>
      <c r="F14" s="15">
        <v>23.5</v>
      </c>
      <c r="G14" s="27" t="s">
        <v>538</v>
      </c>
      <c r="H14" s="28">
        <v>2900</v>
      </c>
      <c r="I14" s="38" t="s">
        <v>26</v>
      </c>
      <c r="J14" s="39">
        <v>12</v>
      </c>
      <c r="K14" s="42">
        <f>0.345*0.172*0.238</f>
        <v>1.4122919999999997E-2</v>
      </c>
      <c r="L14" s="78">
        <v>284.529</v>
      </c>
      <c r="M14" s="78">
        <v>272.39100000000002</v>
      </c>
    </row>
    <row r="15" spans="2:13" ht="15" thickBot="1">
      <c r="B15" s="13" t="s">
        <v>540</v>
      </c>
      <c r="C15" s="14">
        <v>0.75</v>
      </c>
      <c r="D15" s="15">
        <v>1</v>
      </c>
      <c r="E15" s="14">
        <v>4</v>
      </c>
      <c r="F15" s="15">
        <v>31</v>
      </c>
      <c r="G15" s="27" t="s">
        <v>538</v>
      </c>
      <c r="H15" s="28">
        <v>2900</v>
      </c>
      <c r="I15" s="38" t="s">
        <v>28</v>
      </c>
      <c r="J15" s="39">
        <v>15</v>
      </c>
      <c r="K15" s="42">
        <f>0.363*0.172*0.255</f>
        <v>1.5921179999999997E-2</v>
      </c>
      <c r="L15" s="78">
        <v>334.86600000000004</v>
      </c>
      <c r="M15" s="78">
        <v>331.29599999999999</v>
      </c>
    </row>
    <row r="16" spans="2:13" ht="15" thickBot="1">
      <c r="B16" s="13" t="s">
        <v>541</v>
      </c>
      <c r="C16" s="14">
        <v>1.1000000000000001</v>
      </c>
      <c r="D16" s="15">
        <v>1.5</v>
      </c>
      <c r="E16" s="14">
        <v>4</v>
      </c>
      <c r="F16" s="15">
        <v>39</v>
      </c>
      <c r="G16" s="27" t="s">
        <v>538</v>
      </c>
      <c r="H16" s="28">
        <v>2900</v>
      </c>
      <c r="I16" s="38" t="s">
        <v>30</v>
      </c>
      <c r="J16" s="39">
        <v>18</v>
      </c>
      <c r="K16" s="42">
        <f>0.4*0.172*0.255</f>
        <v>1.7544000000000001E-2</v>
      </c>
      <c r="L16" s="78">
        <v>412.33499999999998</v>
      </c>
      <c r="M16" s="78">
        <v>370.56600000000003</v>
      </c>
    </row>
    <row r="17" spans="2:13" ht="15" thickBot="1">
      <c r="B17" s="13" t="s">
        <v>542</v>
      </c>
      <c r="C17" s="14">
        <v>1.1000000000000001</v>
      </c>
      <c r="D17" s="15">
        <v>1.5</v>
      </c>
      <c r="E17" s="14">
        <v>4</v>
      </c>
      <c r="F17" s="15">
        <v>47</v>
      </c>
      <c r="G17" s="27" t="s">
        <v>538</v>
      </c>
      <c r="H17" s="28">
        <v>2900</v>
      </c>
      <c r="I17" s="38" t="s">
        <v>32</v>
      </c>
      <c r="J17" s="39">
        <v>19</v>
      </c>
      <c r="K17" s="42">
        <f>0.419*0.172*0.255</f>
        <v>1.8377339999999999E-2</v>
      </c>
      <c r="L17" s="78">
        <v>478.38</v>
      </c>
      <c r="M17" s="78">
        <v>436.61100000000005</v>
      </c>
    </row>
    <row r="18" spans="2:13" ht="15" thickBot="1">
      <c r="B18" s="13" t="s">
        <v>543</v>
      </c>
      <c r="C18" s="14">
        <v>0.75</v>
      </c>
      <c r="D18" s="15">
        <v>1</v>
      </c>
      <c r="E18" s="14">
        <v>8</v>
      </c>
      <c r="F18" s="15">
        <v>9</v>
      </c>
      <c r="G18" s="27" t="s">
        <v>136</v>
      </c>
      <c r="H18" s="28">
        <v>2900</v>
      </c>
      <c r="I18" s="38" t="s">
        <v>137</v>
      </c>
      <c r="J18" s="39">
        <v>16</v>
      </c>
      <c r="K18" s="42">
        <f>0.445*0.18*0.27</f>
        <v>2.1627000000000004E-2</v>
      </c>
      <c r="L18" s="78">
        <v>428.40000000000003</v>
      </c>
      <c r="M18" s="78">
        <v>386.63100000000003</v>
      </c>
    </row>
    <row r="19" spans="2:13" ht="15" thickBot="1">
      <c r="B19" s="13" t="s">
        <v>544</v>
      </c>
      <c r="C19" s="14">
        <v>0.75</v>
      </c>
      <c r="D19" s="15">
        <v>1</v>
      </c>
      <c r="E19" s="14">
        <v>8</v>
      </c>
      <c r="F19" s="15">
        <v>18</v>
      </c>
      <c r="G19" s="27" t="s">
        <v>136</v>
      </c>
      <c r="H19" s="28">
        <v>2900</v>
      </c>
      <c r="I19" s="38" t="s">
        <v>24</v>
      </c>
      <c r="J19" s="39">
        <v>16</v>
      </c>
      <c r="K19" s="42">
        <f>0.445*0.18*0.27</f>
        <v>2.1627000000000004E-2</v>
      </c>
      <c r="L19" s="78">
        <v>448.03500000000003</v>
      </c>
      <c r="M19" s="78">
        <v>406.26600000000002</v>
      </c>
    </row>
    <row r="20" spans="2:13" ht="15" thickBot="1">
      <c r="B20" s="13" t="s">
        <v>545</v>
      </c>
      <c r="C20" s="14">
        <v>1.1000000000000001</v>
      </c>
      <c r="D20" s="15">
        <v>1.5</v>
      </c>
      <c r="E20" s="14">
        <v>8</v>
      </c>
      <c r="F20" s="15">
        <v>27</v>
      </c>
      <c r="G20" s="27" t="s">
        <v>136</v>
      </c>
      <c r="H20" s="28">
        <v>2900</v>
      </c>
      <c r="I20" s="38" t="s">
        <v>26</v>
      </c>
      <c r="J20" s="39">
        <v>20</v>
      </c>
      <c r="K20" s="42">
        <f>0.445*0.18*0.27</f>
        <v>2.1627000000000004E-2</v>
      </c>
      <c r="L20" s="78">
        <v>475.52399999999994</v>
      </c>
      <c r="M20" s="78">
        <v>433.755</v>
      </c>
    </row>
    <row r="21" spans="2:13" ht="15" thickBot="1">
      <c r="B21" s="13" t="s">
        <v>546</v>
      </c>
      <c r="C21" s="14">
        <v>1.5</v>
      </c>
      <c r="D21" s="15">
        <v>2</v>
      </c>
      <c r="E21" s="14">
        <v>8</v>
      </c>
      <c r="F21" s="15">
        <v>35</v>
      </c>
      <c r="G21" s="27" t="s">
        <v>136</v>
      </c>
      <c r="H21" s="28">
        <v>2900</v>
      </c>
      <c r="I21" s="38" t="s">
        <v>28</v>
      </c>
      <c r="J21" s="39">
        <v>25</v>
      </c>
      <c r="K21" s="42">
        <f>0.495*0.22*0.28</f>
        <v>3.0492000000000002E-2</v>
      </c>
      <c r="L21" s="78">
        <v>633.67499999999995</v>
      </c>
      <c r="M21" s="78">
        <v>574.05600000000004</v>
      </c>
    </row>
    <row r="22" spans="2:13" ht="15" thickBot="1">
      <c r="B22" s="13" t="s">
        <v>547</v>
      </c>
      <c r="C22" s="14">
        <v>2.2000000000000002</v>
      </c>
      <c r="D22" s="15">
        <v>3</v>
      </c>
      <c r="E22" s="14">
        <v>8</v>
      </c>
      <c r="F22" s="15">
        <v>45</v>
      </c>
      <c r="G22" s="27" t="s">
        <v>136</v>
      </c>
      <c r="H22" s="28">
        <v>2900</v>
      </c>
      <c r="I22" s="38" t="s">
        <v>30</v>
      </c>
      <c r="J22" s="39">
        <v>26</v>
      </c>
      <c r="K22" s="42">
        <f>0.565*0.22*0.28</f>
        <v>3.4804000000000002E-2</v>
      </c>
      <c r="L22" s="78">
        <v>718.64100000000008</v>
      </c>
      <c r="M22" s="78">
        <v>647.2410000000001</v>
      </c>
    </row>
    <row r="23" spans="2:13" ht="15" thickBot="1">
      <c r="B23" s="13" t="s">
        <v>548</v>
      </c>
      <c r="C23" s="14">
        <v>2.2000000000000002</v>
      </c>
      <c r="D23" s="15">
        <v>3</v>
      </c>
      <c r="E23" s="14">
        <v>8</v>
      </c>
      <c r="F23" s="15">
        <v>54</v>
      </c>
      <c r="G23" s="27" t="s">
        <v>136</v>
      </c>
      <c r="H23" s="28">
        <v>2900</v>
      </c>
      <c r="I23" s="38" t="s">
        <v>32</v>
      </c>
      <c r="J23" s="39">
        <v>28</v>
      </c>
      <c r="K23" s="42">
        <f>0.595*0.22*0.28</f>
        <v>3.6651999999999997E-2</v>
      </c>
      <c r="L23" s="78">
        <v>747.91499999999996</v>
      </c>
      <c r="M23" s="78">
        <v>676.51499999999999</v>
      </c>
    </row>
    <row r="24" spans="2:13" ht="15" thickBot="1">
      <c r="B24" s="13" t="s">
        <v>549</v>
      </c>
      <c r="C24" s="14">
        <v>0.75</v>
      </c>
      <c r="D24" s="15">
        <v>1</v>
      </c>
      <c r="E24" s="14">
        <v>12</v>
      </c>
      <c r="F24" s="15">
        <v>9.5</v>
      </c>
      <c r="G24" s="27" t="s">
        <v>136</v>
      </c>
      <c r="H24" s="28">
        <v>2900</v>
      </c>
      <c r="I24" s="38" t="s">
        <v>137</v>
      </c>
      <c r="J24" s="39">
        <v>16</v>
      </c>
      <c r="K24" s="42">
        <f>0.445*0.18*0.27</f>
        <v>2.1627000000000004E-2</v>
      </c>
      <c r="L24" s="78">
        <v>458.03100000000006</v>
      </c>
      <c r="M24" s="78">
        <v>416.61899999999997</v>
      </c>
    </row>
    <row r="25" spans="2:13" ht="15" thickBot="1">
      <c r="B25" s="13" t="s">
        <v>550</v>
      </c>
      <c r="C25" s="14">
        <v>1.2</v>
      </c>
      <c r="D25" s="15">
        <v>1.6</v>
      </c>
      <c r="E25" s="14">
        <v>12</v>
      </c>
      <c r="F25" s="15">
        <v>19.5</v>
      </c>
      <c r="G25" s="27" t="s">
        <v>136</v>
      </c>
      <c r="H25" s="28">
        <v>2900</v>
      </c>
      <c r="I25" s="38" t="s">
        <v>24</v>
      </c>
      <c r="J25" s="39">
        <v>20</v>
      </c>
      <c r="K25" s="42">
        <f>0.462*0.22*0.27</f>
        <v>2.7442800000000003E-2</v>
      </c>
      <c r="L25" s="78">
        <v>549.78</v>
      </c>
      <c r="M25" s="78">
        <v>490.16100000000006</v>
      </c>
    </row>
    <row r="26" spans="2:13" ht="15" thickBot="1">
      <c r="B26" s="13" t="s">
        <v>551</v>
      </c>
      <c r="C26" s="14">
        <v>1.8</v>
      </c>
      <c r="D26" s="15">
        <v>2.5</v>
      </c>
      <c r="E26" s="14">
        <v>12</v>
      </c>
      <c r="F26" s="15">
        <v>29.5</v>
      </c>
      <c r="G26" s="27" t="s">
        <v>136</v>
      </c>
      <c r="H26" s="28">
        <v>2900</v>
      </c>
      <c r="I26" s="38" t="s">
        <v>26</v>
      </c>
      <c r="J26" s="39">
        <v>25</v>
      </c>
      <c r="K26" s="42">
        <f>0.502*0.22*0.28</f>
        <v>3.0923200000000001E-2</v>
      </c>
      <c r="L26" s="78">
        <v>615.1110000000001</v>
      </c>
      <c r="M26" s="78">
        <v>543.71100000000013</v>
      </c>
    </row>
    <row r="27" spans="2:13" ht="15" thickBot="1">
      <c r="B27" s="13" t="s">
        <v>552</v>
      </c>
      <c r="C27" s="14">
        <v>2.4</v>
      </c>
      <c r="D27" s="15">
        <v>3.3</v>
      </c>
      <c r="E27" s="14">
        <v>12</v>
      </c>
      <c r="F27" s="15">
        <v>39.5</v>
      </c>
      <c r="G27" s="27" t="s">
        <v>136</v>
      </c>
      <c r="H27" s="28">
        <v>2900</v>
      </c>
      <c r="I27" s="38" t="s">
        <v>28</v>
      </c>
      <c r="J27" s="39">
        <v>26</v>
      </c>
      <c r="K27" s="42">
        <f>0.532*0.22*0.28</f>
        <v>3.2771200000000007E-2</v>
      </c>
      <c r="L27" s="78"/>
      <c r="M27" s="78">
        <v>705.78899999999999</v>
      </c>
    </row>
    <row r="28" spans="2:13" ht="15" thickBot="1">
      <c r="B28" s="13" t="s">
        <v>553</v>
      </c>
      <c r="C28" s="14">
        <v>3</v>
      </c>
      <c r="D28" s="15">
        <v>4</v>
      </c>
      <c r="E28" s="14">
        <v>12</v>
      </c>
      <c r="F28" s="15">
        <v>50</v>
      </c>
      <c r="G28" s="27" t="s">
        <v>136</v>
      </c>
      <c r="H28" s="28">
        <v>2900</v>
      </c>
      <c r="I28" s="38" t="s">
        <v>30</v>
      </c>
      <c r="J28" s="39">
        <v>34</v>
      </c>
      <c r="K28" s="42">
        <f>0.568*0.22*0.292</f>
        <v>3.6488319999999991E-2</v>
      </c>
      <c r="L28" s="78"/>
      <c r="M28" s="78">
        <v>738.27600000000007</v>
      </c>
    </row>
    <row r="29" spans="2:13" ht="15" thickBot="1">
      <c r="B29" s="13" t="s">
        <v>554</v>
      </c>
      <c r="C29" s="14">
        <v>4</v>
      </c>
      <c r="D29" s="15">
        <v>5.5</v>
      </c>
      <c r="E29" s="14">
        <v>12</v>
      </c>
      <c r="F29" s="15">
        <v>60</v>
      </c>
      <c r="G29" s="27" t="s">
        <v>136</v>
      </c>
      <c r="H29" s="28">
        <v>2900</v>
      </c>
      <c r="I29" s="38" t="s">
        <v>32</v>
      </c>
      <c r="J29" s="39">
        <v>38</v>
      </c>
      <c r="K29" s="42">
        <f>0.598*0.22*0.322</f>
        <v>4.2362319999999995E-2</v>
      </c>
      <c r="L29" s="78"/>
      <c r="M29" s="78">
        <v>846.09</v>
      </c>
    </row>
    <row r="30" spans="2:13" ht="15" thickBot="1">
      <c r="B30" s="13" t="s">
        <v>555</v>
      </c>
      <c r="C30" s="14">
        <v>1.1000000000000001</v>
      </c>
      <c r="D30" s="15">
        <v>1.5</v>
      </c>
      <c r="E30" s="14">
        <v>16</v>
      </c>
      <c r="F30" s="15">
        <v>10.5</v>
      </c>
      <c r="G30" s="27" t="s">
        <v>160</v>
      </c>
      <c r="H30" s="28">
        <v>2900</v>
      </c>
      <c r="I30" s="38" t="s">
        <v>137</v>
      </c>
      <c r="J30" s="39">
        <v>19</v>
      </c>
      <c r="K30" s="42">
        <f>0.445*0.18*0.27</f>
        <v>2.1627000000000004E-2</v>
      </c>
      <c r="L30" s="78">
        <v>505.15500000000003</v>
      </c>
      <c r="M30" s="78">
        <v>463.38600000000008</v>
      </c>
    </row>
    <row r="31" spans="2:13" ht="15" thickBot="1">
      <c r="B31" s="13" t="s">
        <v>556</v>
      </c>
      <c r="C31" s="14">
        <v>2.2000000000000002</v>
      </c>
      <c r="D31" s="15">
        <v>3</v>
      </c>
      <c r="E31" s="14">
        <v>16</v>
      </c>
      <c r="F31" s="15">
        <v>21.7</v>
      </c>
      <c r="G31" s="27" t="s">
        <v>160</v>
      </c>
      <c r="H31" s="28">
        <v>2900</v>
      </c>
      <c r="I31" s="38" t="s">
        <v>24</v>
      </c>
      <c r="J31" s="39">
        <v>24</v>
      </c>
      <c r="K31" s="42">
        <f>0.505*0.22*0.28</f>
        <v>3.1108000000000004E-2</v>
      </c>
      <c r="L31" s="78">
        <v>630.81899999999996</v>
      </c>
      <c r="M31" s="78">
        <v>559.41899999999998</v>
      </c>
    </row>
    <row r="32" spans="2:13" ht="15" thickBot="1">
      <c r="B32" s="13" t="s">
        <v>557</v>
      </c>
      <c r="C32" s="14">
        <v>3</v>
      </c>
      <c r="D32" s="15">
        <v>4</v>
      </c>
      <c r="E32" s="14">
        <v>16</v>
      </c>
      <c r="F32" s="15">
        <v>34</v>
      </c>
      <c r="G32" s="27" t="s">
        <v>160</v>
      </c>
      <c r="H32" s="28">
        <v>2900</v>
      </c>
      <c r="I32" s="38" t="s">
        <v>26</v>
      </c>
      <c r="J32" s="39">
        <v>32</v>
      </c>
      <c r="K32" s="42">
        <f>0.536*0.22*0.292</f>
        <v>3.443264E-2</v>
      </c>
      <c r="L32" s="78"/>
      <c r="M32" s="78">
        <v>735.42</v>
      </c>
    </row>
    <row r="33" spans="2:13" ht="15" thickBot="1">
      <c r="B33" s="13" t="s">
        <v>558</v>
      </c>
      <c r="C33" s="14">
        <v>4</v>
      </c>
      <c r="D33" s="15">
        <v>5.5</v>
      </c>
      <c r="E33" s="14">
        <v>16</v>
      </c>
      <c r="F33" s="15">
        <v>45</v>
      </c>
      <c r="G33" s="27" t="s">
        <v>160</v>
      </c>
      <c r="H33" s="28">
        <v>2900</v>
      </c>
      <c r="I33" s="38" t="s">
        <v>28</v>
      </c>
      <c r="J33" s="39">
        <v>38</v>
      </c>
      <c r="K33" s="42">
        <f>0.598*0.22*0.322</f>
        <v>4.2362319999999995E-2</v>
      </c>
      <c r="L33" s="78"/>
      <c r="M33" s="78">
        <v>846.09</v>
      </c>
    </row>
    <row r="34" spans="2:13" ht="15" thickBot="1">
      <c r="B34" s="13" t="s">
        <v>559</v>
      </c>
      <c r="C34" s="14">
        <v>1.1000000000000001</v>
      </c>
      <c r="D34" s="15">
        <v>1.5</v>
      </c>
      <c r="E34" s="14">
        <v>20</v>
      </c>
      <c r="F34" s="15">
        <v>10</v>
      </c>
      <c r="G34" s="27" t="s">
        <v>160</v>
      </c>
      <c r="H34" s="28">
        <v>2900</v>
      </c>
      <c r="I34" s="38" t="s">
        <v>137</v>
      </c>
      <c r="J34" s="39">
        <v>19</v>
      </c>
      <c r="K34" s="42">
        <f>0.445*0.18*0.27</f>
        <v>2.1627000000000004E-2</v>
      </c>
      <c r="L34" s="78">
        <v>535.5</v>
      </c>
      <c r="M34" s="78">
        <v>493.73100000000005</v>
      </c>
    </row>
    <row r="35" spans="2:13" ht="15" thickBot="1">
      <c r="B35" s="13" t="s">
        <v>560</v>
      </c>
      <c r="C35" s="14">
        <v>2.2000000000000002</v>
      </c>
      <c r="D35" s="15">
        <v>3</v>
      </c>
      <c r="E35" s="14">
        <v>20</v>
      </c>
      <c r="F35" s="15">
        <v>22</v>
      </c>
      <c r="G35" s="27" t="s">
        <v>160</v>
      </c>
      <c r="H35" s="28">
        <v>2900</v>
      </c>
      <c r="I35" s="38" t="s">
        <v>24</v>
      </c>
      <c r="J35" s="39">
        <v>24</v>
      </c>
      <c r="K35" s="42">
        <f>0.505*0.22*0.28</f>
        <v>3.1108000000000004E-2</v>
      </c>
      <c r="L35" s="78">
        <v>648.66899999999998</v>
      </c>
      <c r="M35" s="78">
        <v>577.26899999999989</v>
      </c>
    </row>
    <row r="36" spans="2:13" ht="15" thickBot="1">
      <c r="B36" s="13" t="s">
        <v>561</v>
      </c>
      <c r="C36" s="14">
        <v>4</v>
      </c>
      <c r="D36" s="15">
        <v>5.5</v>
      </c>
      <c r="E36" s="14">
        <v>20</v>
      </c>
      <c r="F36" s="15">
        <v>34</v>
      </c>
      <c r="G36" s="27" t="s">
        <v>160</v>
      </c>
      <c r="H36" s="28">
        <v>2900</v>
      </c>
      <c r="I36" s="38" t="s">
        <v>26</v>
      </c>
      <c r="J36" s="39">
        <v>38</v>
      </c>
      <c r="K36" s="42">
        <f>0.536*0.22*0.322</f>
        <v>3.7970240000000002E-2</v>
      </c>
      <c r="L36" s="78"/>
      <c r="M36" s="78">
        <v>804.32100000000014</v>
      </c>
    </row>
    <row r="37" spans="2:13" ht="15" thickBot="1">
      <c r="B37" s="13" t="s">
        <v>562</v>
      </c>
      <c r="C37" s="14">
        <v>4.4000000000000004</v>
      </c>
      <c r="D37" s="15">
        <v>6</v>
      </c>
      <c r="E37" s="14">
        <v>20</v>
      </c>
      <c r="F37" s="15">
        <v>46.5</v>
      </c>
      <c r="G37" s="27" t="s">
        <v>160</v>
      </c>
      <c r="H37" s="28">
        <v>2900</v>
      </c>
      <c r="I37" s="38" t="s">
        <v>28</v>
      </c>
      <c r="J37" s="39">
        <v>41</v>
      </c>
      <c r="K37" s="42">
        <f>0.598*0.22*0.322</f>
        <v>4.2362319999999995E-2</v>
      </c>
      <c r="L37" s="78"/>
      <c r="M37" s="78">
        <v>897.14100000000008</v>
      </c>
    </row>
    <row r="38" spans="2:13" ht="23.25" thickBot="1">
      <c r="B38" s="8"/>
      <c r="C38" s="8"/>
      <c r="D38" s="8"/>
      <c r="E38" s="8"/>
      <c r="F38" s="8"/>
      <c r="G38" s="8"/>
      <c r="H38" s="1"/>
      <c r="I38" s="8"/>
      <c r="J38" s="1"/>
      <c r="K38" s="1"/>
      <c r="L38" s="8"/>
      <c r="M38" s="8"/>
    </row>
    <row r="39" spans="2:13" ht="71.25">
      <c r="B39" s="109" t="s">
        <v>1381</v>
      </c>
      <c r="C39" s="320" t="s">
        <v>2597</v>
      </c>
      <c r="D39" s="321"/>
      <c r="E39" s="321"/>
      <c r="F39" s="321"/>
      <c r="G39" s="321"/>
      <c r="H39" s="321"/>
      <c r="I39" s="321"/>
      <c r="J39" s="321"/>
      <c r="K39" s="321"/>
      <c r="L39" s="321"/>
      <c r="M39" s="321"/>
    </row>
    <row r="40" spans="2:13" ht="15">
      <c r="B40" s="47" t="s">
        <v>192</v>
      </c>
      <c r="C40" s="48" t="s">
        <v>191</v>
      </c>
      <c r="D40" s="49"/>
      <c r="E40" s="52"/>
      <c r="F40" s="52"/>
      <c r="G40" s="52"/>
      <c r="H40" s="52"/>
      <c r="I40" s="52"/>
      <c r="J40" s="52"/>
      <c r="K40" s="52"/>
      <c r="L40" s="52"/>
      <c r="M40" s="52"/>
    </row>
    <row r="41" spans="2:13" ht="39.75" customHeight="1">
      <c r="B41" s="47" t="s">
        <v>193</v>
      </c>
      <c r="C41" s="318" t="s">
        <v>1274</v>
      </c>
      <c r="D41" s="319"/>
      <c r="E41" s="319"/>
      <c r="F41" s="319"/>
      <c r="G41" s="319"/>
      <c r="H41" s="319"/>
      <c r="I41" s="319"/>
      <c r="J41" s="319"/>
      <c r="K41" s="319"/>
      <c r="L41" s="319"/>
      <c r="M41" s="319"/>
    </row>
    <row r="42" spans="2:13" ht="15">
      <c r="B42" s="47" t="s">
        <v>194</v>
      </c>
      <c r="C42" s="48" t="s">
        <v>195</v>
      </c>
      <c r="D42" s="49"/>
      <c r="E42" s="52"/>
      <c r="F42" s="52"/>
      <c r="G42" s="52"/>
      <c r="H42" s="52"/>
      <c r="I42" s="52"/>
      <c r="J42" s="52"/>
      <c r="K42" s="52"/>
      <c r="L42" s="52"/>
      <c r="M42" s="52"/>
    </row>
    <row r="43" spans="2:13" ht="15">
      <c r="B43" s="60" t="s">
        <v>529</v>
      </c>
      <c r="C43" s="56" t="s">
        <v>530</v>
      </c>
      <c r="D43" s="57"/>
      <c r="E43" s="58"/>
      <c r="F43" s="58"/>
      <c r="G43" s="58"/>
      <c r="H43" s="58"/>
      <c r="I43" s="58"/>
      <c r="J43" s="58"/>
      <c r="K43" s="58"/>
      <c r="L43" s="58"/>
      <c r="M43" s="58"/>
    </row>
  </sheetData>
  <mergeCells count="7">
    <mergeCell ref="C41:M41"/>
    <mergeCell ref="B5:B6"/>
    <mergeCell ref="C5:D6"/>
    <mergeCell ref="E5:F5"/>
    <mergeCell ref="L5:M5"/>
    <mergeCell ref="L6:M6"/>
    <mergeCell ref="C39:M39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7">
    <tabColor theme="4" tint="0.39997558519241921"/>
  </sheetPr>
  <dimension ref="B3:M25"/>
  <sheetViews>
    <sheetView workbookViewId="0">
      <selection activeCell="B21" sqref="B21"/>
    </sheetView>
  </sheetViews>
  <sheetFormatPr defaultRowHeight="14.25"/>
  <cols>
    <col min="1" max="1" width="39.125" customWidth="1"/>
    <col min="2" max="2" width="17.25" customWidth="1"/>
    <col min="12" max="13" width="10.875" customWidth="1"/>
  </cols>
  <sheetData>
    <row r="3" spans="2:13" ht="25.5">
      <c r="B3" s="53" t="s">
        <v>564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3" t="s">
        <v>0</v>
      </c>
      <c r="C5" s="255" t="s">
        <v>1</v>
      </c>
      <c r="D5" s="253"/>
      <c r="E5" s="265" t="s">
        <v>2</v>
      </c>
      <c r="F5" s="265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9" t="s">
        <v>8</v>
      </c>
      <c r="M5" s="255"/>
    </row>
    <row r="6" spans="2:13" ht="15">
      <c r="B6" s="254"/>
      <c r="C6" s="256"/>
      <c r="D6" s="254"/>
      <c r="E6" s="20" t="s">
        <v>9</v>
      </c>
      <c r="F6" s="10" t="s">
        <v>10</v>
      </c>
      <c r="G6" s="21"/>
      <c r="H6" s="22"/>
      <c r="I6" s="32"/>
      <c r="J6" s="33"/>
      <c r="K6" s="33"/>
      <c r="L6" s="260" t="s">
        <v>11</v>
      </c>
      <c r="M6" s="261"/>
    </row>
    <row r="7" spans="2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2:13" ht="15" thickBot="1">
      <c r="B8" s="13" t="s">
        <v>565</v>
      </c>
      <c r="C8" s="14">
        <v>0.37</v>
      </c>
      <c r="D8" s="15">
        <v>0.5</v>
      </c>
      <c r="E8" s="14">
        <v>3.6</v>
      </c>
      <c r="F8" s="15">
        <v>14.6</v>
      </c>
      <c r="G8" s="27" t="s">
        <v>538</v>
      </c>
      <c r="H8" s="28">
        <v>2900</v>
      </c>
      <c r="I8" s="38" t="s">
        <v>566</v>
      </c>
      <c r="J8" s="39">
        <v>13</v>
      </c>
      <c r="K8" s="40">
        <f>0.365*0.236*0.286</f>
        <v>2.4636039999999998E-2</v>
      </c>
      <c r="L8" s="78">
        <v>307.73399999999998</v>
      </c>
      <c r="M8" s="78">
        <v>277.74600000000004</v>
      </c>
    </row>
    <row r="9" spans="2:13" ht="15" thickBot="1">
      <c r="B9" s="13" t="s">
        <v>567</v>
      </c>
      <c r="C9" s="14">
        <v>0.55000000000000004</v>
      </c>
      <c r="D9" s="15">
        <v>0.75</v>
      </c>
      <c r="E9" s="14">
        <v>3.6</v>
      </c>
      <c r="F9" s="15">
        <v>19.5</v>
      </c>
      <c r="G9" s="27" t="s">
        <v>538</v>
      </c>
      <c r="H9" s="28">
        <v>2900</v>
      </c>
      <c r="I9" s="38" t="s">
        <v>566</v>
      </c>
      <c r="J9" s="39">
        <v>14</v>
      </c>
      <c r="K9" s="42">
        <f>0.365*0.236*0.286</f>
        <v>2.4636039999999998E-2</v>
      </c>
      <c r="L9" s="78">
        <v>337.36500000000001</v>
      </c>
      <c r="M9" s="78">
        <v>295.596</v>
      </c>
    </row>
    <row r="10" spans="2:13" ht="15" thickBot="1">
      <c r="B10" s="13" t="s">
        <v>568</v>
      </c>
      <c r="C10" s="14">
        <v>0.75</v>
      </c>
      <c r="D10" s="15">
        <v>1</v>
      </c>
      <c r="E10" s="14">
        <v>3.6</v>
      </c>
      <c r="F10" s="15">
        <v>25</v>
      </c>
      <c r="G10" s="27" t="s">
        <v>538</v>
      </c>
      <c r="H10" s="28">
        <v>2900</v>
      </c>
      <c r="I10" s="38" t="s">
        <v>566</v>
      </c>
      <c r="J10" s="39">
        <v>15</v>
      </c>
      <c r="K10" s="42">
        <f>0.365*0.236*0.286</f>
        <v>2.4636039999999998E-2</v>
      </c>
      <c r="L10" s="78">
        <v>379.49100000000004</v>
      </c>
      <c r="M10" s="78">
        <v>338.07900000000001</v>
      </c>
    </row>
    <row r="11" spans="2:13" ht="15" thickBot="1">
      <c r="B11" s="13" t="s">
        <v>569</v>
      </c>
      <c r="C11" s="14">
        <v>0.55000000000000004</v>
      </c>
      <c r="D11" s="15">
        <v>0.75</v>
      </c>
      <c r="E11" s="14">
        <v>6</v>
      </c>
      <c r="F11" s="15">
        <v>14</v>
      </c>
      <c r="G11" s="27" t="s">
        <v>538</v>
      </c>
      <c r="H11" s="28">
        <v>2900</v>
      </c>
      <c r="I11" s="38" t="s">
        <v>566</v>
      </c>
      <c r="J11" s="39">
        <v>14</v>
      </c>
      <c r="K11" s="42">
        <f>0.365*0.236*0.286</f>
        <v>2.4636039999999998E-2</v>
      </c>
      <c r="L11" s="78">
        <v>337.36500000000001</v>
      </c>
      <c r="M11" s="78">
        <v>295.596</v>
      </c>
    </row>
    <row r="12" spans="2:13" ht="15" thickBot="1">
      <c r="B12" s="13" t="s">
        <v>570</v>
      </c>
      <c r="C12" s="14">
        <v>1.1000000000000001</v>
      </c>
      <c r="D12" s="15">
        <v>1.5</v>
      </c>
      <c r="E12" s="14">
        <v>6</v>
      </c>
      <c r="F12" s="15">
        <v>23.4</v>
      </c>
      <c r="G12" s="27" t="s">
        <v>538</v>
      </c>
      <c r="H12" s="28">
        <v>2900</v>
      </c>
      <c r="I12" s="38" t="s">
        <v>566</v>
      </c>
      <c r="J12" s="39">
        <v>16</v>
      </c>
      <c r="K12" s="42">
        <f>0.415*0.236*0.286</f>
        <v>2.8010839999999995E-2</v>
      </c>
      <c r="L12" s="78">
        <v>435.54</v>
      </c>
      <c r="M12" s="78">
        <v>393.77100000000002</v>
      </c>
    </row>
    <row r="13" spans="2:13" ht="15" thickBot="1">
      <c r="B13" s="13" t="s">
        <v>571</v>
      </c>
      <c r="C13" s="14">
        <v>0.75</v>
      </c>
      <c r="D13" s="15">
        <v>1</v>
      </c>
      <c r="E13" s="14">
        <v>9.6</v>
      </c>
      <c r="F13" s="15">
        <v>13.8</v>
      </c>
      <c r="G13" s="27" t="s">
        <v>572</v>
      </c>
      <c r="H13" s="28">
        <v>2900</v>
      </c>
      <c r="I13" s="38" t="s">
        <v>566</v>
      </c>
      <c r="J13" s="39">
        <v>15</v>
      </c>
      <c r="K13" s="42">
        <f>0.38*0.236*0.286</f>
        <v>2.5648479999999998E-2</v>
      </c>
      <c r="L13" s="78">
        <v>379.49100000000004</v>
      </c>
      <c r="M13" s="78">
        <v>338.07900000000001</v>
      </c>
    </row>
    <row r="14" spans="2:13" ht="15" thickBot="1">
      <c r="B14" s="13" t="s">
        <v>573</v>
      </c>
      <c r="C14" s="14">
        <v>1.1000000000000001</v>
      </c>
      <c r="D14" s="15">
        <v>1.5</v>
      </c>
      <c r="E14" s="14">
        <v>9.6</v>
      </c>
      <c r="F14" s="15">
        <v>18.2</v>
      </c>
      <c r="G14" s="27" t="s">
        <v>572</v>
      </c>
      <c r="H14" s="28">
        <v>2900</v>
      </c>
      <c r="I14" s="38" t="s">
        <v>566</v>
      </c>
      <c r="J14" s="39">
        <v>16</v>
      </c>
      <c r="K14" s="42">
        <f>0.435*0.236*0.286</f>
        <v>2.9360759999999993E-2</v>
      </c>
      <c r="L14" s="78">
        <v>435.54</v>
      </c>
      <c r="M14" s="78">
        <v>393.77100000000002</v>
      </c>
    </row>
    <row r="15" spans="2:13" ht="15" thickBot="1">
      <c r="B15" s="13" t="s">
        <v>574</v>
      </c>
      <c r="C15" s="14">
        <v>1.1000000000000001</v>
      </c>
      <c r="D15" s="15">
        <v>1.5</v>
      </c>
      <c r="E15" s="14">
        <v>15</v>
      </c>
      <c r="F15" s="15">
        <v>13</v>
      </c>
      <c r="G15" s="27" t="s">
        <v>572</v>
      </c>
      <c r="H15" s="28">
        <v>2900</v>
      </c>
      <c r="I15" s="38" t="s">
        <v>566</v>
      </c>
      <c r="J15" s="39">
        <v>20</v>
      </c>
      <c r="K15" s="42">
        <f>0.43*0.236*0.286</f>
        <v>2.9023279999999995E-2</v>
      </c>
      <c r="L15" s="78">
        <v>435.54</v>
      </c>
      <c r="M15" s="78">
        <v>393.77100000000002</v>
      </c>
    </row>
    <row r="16" spans="2:13" ht="15" thickBot="1">
      <c r="B16" s="13" t="s">
        <v>575</v>
      </c>
      <c r="C16" s="14">
        <v>1.5</v>
      </c>
      <c r="D16" s="15">
        <v>2</v>
      </c>
      <c r="E16" s="14">
        <v>15</v>
      </c>
      <c r="F16" s="15">
        <v>19.8</v>
      </c>
      <c r="G16" s="27" t="s">
        <v>572</v>
      </c>
      <c r="H16" s="28">
        <v>2900</v>
      </c>
      <c r="I16" s="38" t="s">
        <v>566</v>
      </c>
      <c r="J16" s="39">
        <v>22</v>
      </c>
      <c r="K16" s="42">
        <f>0.43*0.236*0.286</f>
        <v>2.9023279999999995E-2</v>
      </c>
      <c r="L16" s="78">
        <v>511.22399999999993</v>
      </c>
      <c r="M16" s="78">
        <v>451.60500000000002</v>
      </c>
    </row>
    <row r="17" spans="2:13" ht="15" thickBot="1">
      <c r="B17" s="13" t="s">
        <v>576</v>
      </c>
      <c r="C17" s="14">
        <v>2.2000000000000002</v>
      </c>
      <c r="D17" s="15">
        <v>3</v>
      </c>
      <c r="E17" s="14">
        <v>15</v>
      </c>
      <c r="F17" s="15">
        <v>24.6</v>
      </c>
      <c r="G17" s="27" t="s">
        <v>572</v>
      </c>
      <c r="H17" s="28">
        <v>2900</v>
      </c>
      <c r="I17" s="38" t="s">
        <v>566</v>
      </c>
      <c r="J17" s="39">
        <v>20</v>
      </c>
      <c r="K17" s="42">
        <f>0.47*0.236*0.286</f>
        <v>3.1723119999999994E-2</v>
      </c>
      <c r="L17" s="78">
        <v>549.78</v>
      </c>
      <c r="M17" s="78">
        <v>478.38</v>
      </c>
    </row>
    <row r="18" spans="2:13" ht="15" thickBot="1">
      <c r="B18" s="13" t="s">
        <v>577</v>
      </c>
      <c r="C18" s="14">
        <v>1.5</v>
      </c>
      <c r="D18" s="15">
        <v>2</v>
      </c>
      <c r="E18" s="14">
        <v>20</v>
      </c>
      <c r="F18" s="15">
        <v>14</v>
      </c>
      <c r="G18" s="27" t="s">
        <v>578</v>
      </c>
      <c r="H18" s="28">
        <v>2900</v>
      </c>
      <c r="I18" s="38" t="s">
        <v>566</v>
      </c>
      <c r="J18" s="39">
        <v>20</v>
      </c>
      <c r="K18" s="42">
        <f>0.43*0.236*0.286</f>
        <v>2.9023279999999995E-2</v>
      </c>
      <c r="L18" s="78">
        <v>511.22399999999993</v>
      </c>
      <c r="M18" s="78">
        <v>451.60500000000002</v>
      </c>
    </row>
    <row r="19" spans="2:13" ht="15" thickBot="1">
      <c r="B19" s="13" t="s">
        <v>579</v>
      </c>
      <c r="C19" s="14">
        <v>2.2000000000000002</v>
      </c>
      <c r="D19" s="15">
        <v>3</v>
      </c>
      <c r="E19" s="14">
        <v>20</v>
      </c>
      <c r="F19" s="15">
        <v>17.5</v>
      </c>
      <c r="G19" s="27" t="s">
        <v>578</v>
      </c>
      <c r="H19" s="28">
        <v>2900</v>
      </c>
      <c r="I19" s="38" t="s">
        <v>566</v>
      </c>
      <c r="J19" s="39">
        <v>22</v>
      </c>
      <c r="K19" s="42">
        <f>0.47*0.236*0.286</f>
        <v>3.1723119999999994E-2</v>
      </c>
      <c r="L19" s="78">
        <v>549.78</v>
      </c>
      <c r="M19" s="78">
        <v>478.38</v>
      </c>
    </row>
    <row r="20" spans="2:13" ht="23.25" thickBot="1">
      <c r="B20" s="8"/>
      <c r="C20" s="8"/>
      <c r="D20" s="8"/>
      <c r="E20" s="8"/>
      <c r="F20" s="8"/>
      <c r="G20" s="8"/>
      <c r="H20" s="1"/>
      <c r="I20" s="8"/>
      <c r="J20" s="1"/>
      <c r="K20" s="1"/>
      <c r="L20" s="8"/>
      <c r="M20" s="8"/>
    </row>
    <row r="21" spans="2:13" ht="70.5" customHeight="1">
      <c r="B21" s="112" t="s">
        <v>1381</v>
      </c>
      <c r="C21" s="320" t="s">
        <v>2978</v>
      </c>
      <c r="D21" s="321"/>
      <c r="E21" s="321"/>
      <c r="F21" s="321"/>
      <c r="G21" s="321"/>
      <c r="H21" s="321"/>
      <c r="I21" s="321"/>
      <c r="J21" s="321"/>
      <c r="K21" s="321"/>
      <c r="L21" s="321"/>
      <c r="M21" s="321"/>
    </row>
    <row r="22" spans="2:13">
      <c r="B22" s="47" t="s">
        <v>192</v>
      </c>
      <c r="C22" s="271" t="s">
        <v>191</v>
      </c>
      <c r="D22" s="272"/>
      <c r="E22" s="272"/>
      <c r="F22" s="272"/>
      <c r="G22" s="272"/>
      <c r="H22" s="272"/>
      <c r="I22" s="272"/>
      <c r="J22" s="272"/>
      <c r="K22" s="272"/>
      <c r="L22" s="272"/>
      <c r="M22" s="272"/>
    </row>
    <row r="23" spans="2:13" ht="34.5" customHeight="1">
      <c r="B23" s="47" t="s">
        <v>193</v>
      </c>
      <c r="C23" s="318" t="s">
        <v>1274</v>
      </c>
      <c r="D23" s="319"/>
      <c r="E23" s="319"/>
      <c r="F23" s="319"/>
      <c r="G23" s="319"/>
      <c r="H23" s="319"/>
      <c r="I23" s="319"/>
      <c r="J23" s="319"/>
      <c r="K23" s="319"/>
      <c r="L23" s="319"/>
      <c r="M23" s="319"/>
    </row>
    <row r="24" spans="2:13" ht="15">
      <c r="B24" s="47" t="s">
        <v>194</v>
      </c>
      <c r="C24" s="48" t="s">
        <v>195</v>
      </c>
      <c r="D24" s="49"/>
      <c r="E24" s="52"/>
      <c r="F24" s="52"/>
      <c r="G24" s="52"/>
      <c r="H24" s="52"/>
      <c r="I24" s="52"/>
      <c r="J24" s="52"/>
      <c r="K24" s="52"/>
      <c r="L24" s="52"/>
      <c r="M24" s="52"/>
    </row>
    <row r="25" spans="2:13" ht="15">
      <c r="B25" s="60" t="s">
        <v>529</v>
      </c>
      <c r="C25" s="56" t="s">
        <v>530</v>
      </c>
      <c r="D25" s="57"/>
      <c r="E25" s="58"/>
      <c r="F25" s="58"/>
      <c r="G25" s="58"/>
      <c r="H25" s="58"/>
      <c r="I25" s="58"/>
      <c r="J25" s="58"/>
      <c r="K25" s="58"/>
      <c r="L25" s="58"/>
      <c r="M25" s="58"/>
    </row>
  </sheetData>
  <mergeCells count="8">
    <mergeCell ref="C23:M23"/>
    <mergeCell ref="C21:M21"/>
    <mergeCell ref="C22:M22"/>
    <mergeCell ref="B5:B6"/>
    <mergeCell ref="C5:D6"/>
    <mergeCell ref="E5:F5"/>
    <mergeCell ref="L5:M5"/>
    <mergeCell ref="L6:M6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8">
    <tabColor theme="4" tint="0.39997558519241921"/>
  </sheetPr>
  <dimension ref="B3:M37"/>
  <sheetViews>
    <sheetView topLeftCell="A4" workbookViewId="0">
      <selection activeCell="B33" sqref="B33:M37"/>
    </sheetView>
  </sheetViews>
  <sheetFormatPr defaultRowHeight="14.25"/>
  <cols>
    <col min="1" max="1" width="28.75" customWidth="1"/>
    <col min="2" max="2" width="16" customWidth="1"/>
  </cols>
  <sheetData>
    <row r="3" spans="2:13" ht="25.5">
      <c r="B3" s="53" t="s">
        <v>580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3" t="s">
        <v>0</v>
      </c>
      <c r="C5" s="255" t="s">
        <v>1</v>
      </c>
      <c r="D5" s="253"/>
      <c r="E5" s="265" t="s">
        <v>2</v>
      </c>
      <c r="F5" s="265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9" t="s">
        <v>8</v>
      </c>
      <c r="M5" s="255"/>
    </row>
    <row r="6" spans="2:13" ht="15">
      <c r="B6" s="254"/>
      <c r="C6" s="256"/>
      <c r="D6" s="254"/>
      <c r="E6" s="20" t="s">
        <v>9</v>
      </c>
      <c r="F6" s="10" t="s">
        <v>10</v>
      </c>
      <c r="G6" s="21"/>
      <c r="H6" s="22"/>
      <c r="I6" s="32"/>
      <c r="J6" s="33"/>
      <c r="K6" s="33"/>
      <c r="L6" s="260" t="s">
        <v>11</v>
      </c>
      <c r="M6" s="261"/>
    </row>
    <row r="7" spans="2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2:13" ht="15" thickBot="1">
      <c r="B8" s="13" t="s">
        <v>581</v>
      </c>
      <c r="C8" s="14">
        <v>0.37</v>
      </c>
      <c r="D8" s="15">
        <v>0.5</v>
      </c>
      <c r="E8" s="14">
        <v>2</v>
      </c>
      <c r="F8" s="15">
        <v>15</v>
      </c>
      <c r="G8" s="27" t="s">
        <v>23</v>
      </c>
      <c r="H8" s="28">
        <v>2900</v>
      </c>
      <c r="I8" s="38" t="s">
        <v>24</v>
      </c>
      <c r="J8" s="39">
        <v>15</v>
      </c>
      <c r="K8" s="40">
        <f>0.42*0.185*0.29</f>
        <v>2.2532999999999997E-2</v>
      </c>
      <c r="L8" s="78">
        <v>263.46600000000001</v>
      </c>
      <c r="M8" s="78">
        <v>263.46600000000001</v>
      </c>
    </row>
    <row r="9" spans="2:13" ht="15" thickBot="1">
      <c r="B9" s="13" t="s">
        <v>582</v>
      </c>
      <c r="C9" s="14">
        <v>0.37</v>
      </c>
      <c r="D9" s="15">
        <v>0.5</v>
      </c>
      <c r="E9" s="14">
        <v>2</v>
      </c>
      <c r="F9" s="15">
        <v>22</v>
      </c>
      <c r="G9" s="27" t="s">
        <v>23</v>
      </c>
      <c r="H9" s="28">
        <v>2900</v>
      </c>
      <c r="I9" s="38" t="s">
        <v>26</v>
      </c>
      <c r="J9" s="39">
        <v>15</v>
      </c>
      <c r="K9" s="42">
        <f>0.42*0.185*0.29</f>
        <v>2.2532999999999997E-2</v>
      </c>
      <c r="L9" s="78">
        <v>290.24100000000004</v>
      </c>
      <c r="M9" s="78">
        <v>290.24100000000004</v>
      </c>
    </row>
    <row r="10" spans="2:13" ht="15" thickBot="1">
      <c r="B10" s="13" t="s">
        <v>583</v>
      </c>
      <c r="C10" s="14">
        <v>0.55000000000000004</v>
      </c>
      <c r="D10" s="15">
        <v>0.75</v>
      </c>
      <c r="E10" s="14">
        <v>2</v>
      </c>
      <c r="F10" s="15">
        <v>29</v>
      </c>
      <c r="G10" s="27" t="s">
        <v>23</v>
      </c>
      <c r="H10" s="28">
        <v>2900</v>
      </c>
      <c r="I10" s="38" t="s">
        <v>28</v>
      </c>
      <c r="J10" s="39">
        <v>15</v>
      </c>
      <c r="K10" s="42">
        <f>0.42*0.185*0.29</f>
        <v>2.2532999999999997E-2</v>
      </c>
      <c r="L10" s="78">
        <v>321.3</v>
      </c>
      <c r="M10" s="78">
        <v>321.3</v>
      </c>
    </row>
    <row r="11" spans="2:13" ht="15" thickBot="1">
      <c r="B11" s="13" t="s">
        <v>584</v>
      </c>
      <c r="C11" s="14">
        <v>0.55000000000000004</v>
      </c>
      <c r="D11" s="15">
        <v>0.75</v>
      </c>
      <c r="E11" s="14">
        <v>2</v>
      </c>
      <c r="F11" s="15">
        <v>36</v>
      </c>
      <c r="G11" s="27" t="s">
        <v>23</v>
      </c>
      <c r="H11" s="28">
        <v>2900</v>
      </c>
      <c r="I11" s="38" t="s">
        <v>30</v>
      </c>
      <c r="J11" s="39">
        <v>15</v>
      </c>
      <c r="K11" s="42">
        <f>0.42*0.185*0.29</f>
        <v>2.2532999999999997E-2</v>
      </c>
      <c r="L11" s="78">
        <v>386.63100000000003</v>
      </c>
      <c r="M11" s="78">
        <v>386.63100000000003</v>
      </c>
    </row>
    <row r="12" spans="2:13" ht="15" thickBot="1">
      <c r="B12" s="13" t="s">
        <v>585</v>
      </c>
      <c r="C12" s="14">
        <v>0.75</v>
      </c>
      <c r="D12" s="15">
        <v>1</v>
      </c>
      <c r="E12" s="14">
        <v>2</v>
      </c>
      <c r="F12" s="15">
        <v>44</v>
      </c>
      <c r="G12" s="27" t="s">
        <v>23</v>
      </c>
      <c r="H12" s="28">
        <v>2900</v>
      </c>
      <c r="I12" s="38" t="s">
        <v>32</v>
      </c>
      <c r="J12" s="39">
        <v>17</v>
      </c>
      <c r="K12" s="42">
        <f>0.465*0.185*0.305</f>
        <v>2.6237625000000001E-2</v>
      </c>
      <c r="L12" s="78">
        <v>398.76900000000001</v>
      </c>
      <c r="M12" s="78">
        <v>398.76900000000001</v>
      </c>
    </row>
    <row r="13" spans="2:13" ht="15" thickBot="1">
      <c r="B13" s="13" t="s">
        <v>586</v>
      </c>
      <c r="C13" s="14">
        <v>0.37</v>
      </c>
      <c r="D13" s="15">
        <v>0.5</v>
      </c>
      <c r="E13" s="14">
        <v>4</v>
      </c>
      <c r="F13" s="15">
        <v>15</v>
      </c>
      <c r="G13" s="27" t="s">
        <v>538</v>
      </c>
      <c r="H13" s="28">
        <v>2900</v>
      </c>
      <c r="I13" s="38" t="s">
        <v>24</v>
      </c>
      <c r="J13" s="39">
        <v>14</v>
      </c>
      <c r="K13" s="42">
        <f>0.42*0.185*0.29</f>
        <v>2.2532999999999997E-2</v>
      </c>
      <c r="L13" s="78">
        <v>288.09899999999999</v>
      </c>
      <c r="M13" s="78">
        <v>288.09899999999999</v>
      </c>
    </row>
    <row r="14" spans="2:13" ht="15" thickBot="1">
      <c r="B14" s="13" t="s">
        <v>587</v>
      </c>
      <c r="C14" s="14">
        <v>0.55000000000000004</v>
      </c>
      <c r="D14" s="15">
        <v>0.75</v>
      </c>
      <c r="E14" s="14">
        <v>4</v>
      </c>
      <c r="F14" s="15">
        <v>23.5</v>
      </c>
      <c r="G14" s="27" t="s">
        <v>538</v>
      </c>
      <c r="H14" s="28">
        <v>2900</v>
      </c>
      <c r="I14" s="38" t="s">
        <v>26</v>
      </c>
      <c r="J14" s="39">
        <v>17</v>
      </c>
      <c r="K14" s="42">
        <f>0.42*0.185*0.29</f>
        <v>2.2532999999999997E-2</v>
      </c>
      <c r="L14" s="78">
        <v>334.86600000000004</v>
      </c>
      <c r="M14" s="78">
        <v>334.86600000000004</v>
      </c>
    </row>
    <row r="15" spans="2:13" ht="15" thickBot="1">
      <c r="B15" s="13" t="s">
        <v>588</v>
      </c>
      <c r="C15" s="14">
        <v>0.75</v>
      </c>
      <c r="D15" s="15">
        <v>1</v>
      </c>
      <c r="E15" s="14">
        <v>4</v>
      </c>
      <c r="F15" s="15">
        <v>31</v>
      </c>
      <c r="G15" s="27" t="s">
        <v>538</v>
      </c>
      <c r="H15" s="28">
        <v>2900</v>
      </c>
      <c r="I15" s="38" t="s">
        <v>28</v>
      </c>
      <c r="J15" s="39">
        <v>17</v>
      </c>
      <c r="K15" s="42">
        <f>0.465*0.185*0.305</f>
        <v>2.6237625000000001E-2</v>
      </c>
      <c r="L15" s="78">
        <v>369.495</v>
      </c>
      <c r="M15" s="78">
        <v>369.495</v>
      </c>
    </row>
    <row r="16" spans="2:13" ht="15" thickBot="1">
      <c r="B16" s="13" t="s">
        <v>589</v>
      </c>
      <c r="C16" s="14">
        <v>0.75</v>
      </c>
      <c r="D16" s="15">
        <v>1</v>
      </c>
      <c r="E16" s="14">
        <v>8</v>
      </c>
      <c r="F16" s="15">
        <v>9</v>
      </c>
      <c r="G16" s="27" t="s">
        <v>160</v>
      </c>
      <c r="H16" s="28">
        <v>2900</v>
      </c>
      <c r="I16" s="38" t="s">
        <v>137</v>
      </c>
      <c r="J16" s="39">
        <v>23</v>
      </c>
      <c r="K16" s="42">
        <f>0.58*0.25*0.328</f>
        <v>4.7559999999999998E-2</v>
      </c>
      <c r="L16" s="78">
        <v>470.16899999999993</v>
      </c>
      <c r="M16" s="78">
        <v>428.40000000000003</v>
      </c>
    </row>
    <row r="17" spans="2:13" ht="15" thickBot="1">
      <c r="B17" s="13" t="s">
        <v>590</v>
      </c>
      <c r="C17" s="14">
        <v>0.75</v>
      </c>
      <c r="D17" s="15">
        <v>1</v>
      </c>
      <c r="E17" s="14">
        <v>8</v>
      </c>
      <c r="F17" s="15">
        <v>18</v>
      </c>
      <c r="G17" s="27" t="s">
        <v>160</v>
      </c>
      <c r="H17" s="28">
        <v>2900</v>
      </c>
      <c r="I17" s="38" t="s">
        <v>24</v>
      </c>
      <c r="J17" s="39">
        <v>23</v>
      </c>
      <c r="K17" s="42">
        <f>0.58*0.25*0.328</f>
        <v>4.7559999999999998E-2</v>
      </c>
      <c r="L17" s="78">
        <v>481.95</v>
      </c>
      <c r="M17" s="78">
        <v>440.18100000000004</v>
      </c>
    </row>
    <row r="18" spans="2:13" ht="15" thickBot="1">
      <c r="B18" s="13" t="s">
        <v>591</v>
      </c>
      <c r="C18" s="14">
        <v>1.1000000000000001</v>
      </c>
      <c r="D18" s="15">
        <v>1.5</v>
      </c>
      <c r="E18" s="14">
        <v>8</v>
      </c>
      <c r="F18" s="15">
        <v>27</v>
      </c>
      <c r="G18" s="27" t="s">
        <v>160</v>
      </c>
      <c r="H18" s="28">
        <v>2900</v>
      </c>
      <c r="I18" s="38" t="s">
        <v>26</v>
      </c>
      <c r="J18" s="39">
        <v>28</v>
      </c>
      <c r="K18" s="42">
        <f>0.58*0.25*0.328</f>
        <v>4.7559999999999998E-2</v>
      </c>
      <c r="L18" s="78">
        <v>544.42499999999995</v>
      </c>
      <c r="M18" s="78">
        <v>502.65600000000006</v>
      </c>
    </row>
    <row r="19" spans="2:13" ht="15" thickBot="1">
      <c r="B19" s="13" t="s">
        <v>592</v>
      </c>
      <c r="C19" s="14">
        <v>1.5</v>
      </c>
      <c r="D19" s="15">
        <v>2</v>
      </c>
      <c r="E19" s="14">
        <v>8</v>
      </c>
      <c r="F19" s="15">
        <v>35</v>
      </c>
      <c r="G19" s="27" t="s">
        <v>160</v>
      </c>
      <c r="H19" s="28">
        <v>2900</v>
      </c>
      <c r="I19" s="38" t="s">
        <v>28</v>
      </c>
      <c r="J19" s="39">
        <v>28</v>
      </c>
      <c r="K19" s="42">
        <f>0.6*0.25*0.328</f>
        <v>4.9200000000000001E-2</v>
      </c>
      <c r="L19" s="78">
        <v>629.39100000000008</v>
      </c>
      <c r="M19" s="78">
        <v>570.12899999999991</v>
      </c>
    </row>
    <row r="20" spans="2:13" ht="15" thickBot="1">
      <c r="B20" s="13" t="s">
        <v>593</v>
      </c>
      <c r="C20" s="14">
        <v>2.2000000000000002</v>
      </c>
      <c r="D20" s="15">
        <v>3</v>
      </c>
      <c r="E20" s="14">
        <v>8</v>
      </c>
      <c r="F20" s="15">
        <v>45</v>
      </c>
      <c r="G20" s="27" t="s">
        <v>160</v>
      </c>
      <c r="H20" s="28">
        <v>2900</v>
      </c>
      <c r="I20" s="38" t="s">
        <v>30</v>
      </c>
      <c r="J20" s="39">
        <v>33</v>
      </c>
      <c r="K20" s="42">
        <f>0.6*0.25*0.328</f>
        <v>4.9200000000000001E-2</v>
      </c>
      <c r="L20" s="78">
        <v>704.3610000000001</v>
      </c>
      <c r="M20" s="78">
        <v>632.96100000000013</v>
      </c>
    </row>
    <row r="21" spans="2:13" ht="15" thickBot="1">
      <c r="B21" s="13" t="s">
        <v>594</v>
      </c>
      <c r="C21" s="14">
        <v>0.75</v>
      </c>
      <c r="D21" s="15">
        <v>1</v>
      </c>
      <c r="E21" s="14">
        <v>12</v>
      </c>
      <c r="F21" s="15">
        <v>9.5</v>
      </c>
      <c r="G21" s="27" t="s">
        <v>160</v>
      </c>
      <c r="H21" s="28">
        <v>2900</v>
      </c>
      <c r="I21" s="38" t="s">
        <v>137</v>
      </c>
      <c r="J21" s="39">
        <v>23</v>
      </c>
      <c r="K21" s="42">
        <f>0.58*0.25*0.328</f>
        <v>4.7559999999999998E-2</v>
      </c>
      <c r="L21" s="78">
        <v>493.73100000000005</v>
      </c>
      <c r="M21" s="78">
        <v>452.31900000000002</v>
      </c>
    </row>
    <row r="22" spans="2:13" ht="15" thickBot="1">
      <c r="B22" s="13" t="s">
        <v>595</v>
      </c>
      <c r="C22" s="14">
        <v>1.2</v>
      </c>
      <c r="D22" s="15">
        <v>1.6</v>
      </c>
      <c r="E22" s="14">
        <v>12</v>
      </c>
      <c r="F22" s="15">
        <v>19.5</v>
      </c>
      <c r="G22" s="27" t="s">
        <v>160</v>
      </c>
      <c r="H22" s="28">
        <v>2900</v>
      </c>
      <c r="I22" s="38" t="s">
        <v>24</v>
      </c>
      <c r="J22" s="39">
        <v>24</v>
      </c>
      <c r="K22" s="42">
        <f>0.58*0.25*0.328</f>
        <v>4.7559999999999998E-2</v>
      </c>
      <c r="L22" s="78">
        <v>599.76</v>
      </c>
      <c r="M22" s="78">
        <v>540.14100000000008</v>
      </c>
    </row>
    <row r="23" spans="2:13" ht="15" thickBot="1">
      <c r="B23" s="13" t="s">
        <v>596</v>
      </c>
      <c r="C23" s="14">
        <v>1.8</v>
      </c>
      <c r="D23" s="15">
        <v>2.5</v>
      </c>
      <c r="E23" s="14">
        <v>12</v>
      </c>
      <c r="F23" s="15">
        <v>29.5</v>
      </c>
      <c r="G23" s="27" t="s">
        <v>160</v>
      </c>
      <c r="H23" s="28">
        <v>2900</v>
      </c>
      <c r="I23" s="38" t="s">
        <v>26</v>
      </c>
      <c r="J23" s="39">
        <v>28</v>
      </c>
      <c r="K23" s="42">
        <f>0.6*0.25*0.328</f>
        <v>4.9200000000000001E-2</v>
      </c>
      <c r="L23" s="78">
        <v>659.7360000000001</v>
      </c>
      <c r="M23" s="78">
        <v>588.33600000000013</v>
      </c>
    </row>
    <row r="24" spans="2:13" ht="15" thickBot="1">
      <c r="B24" s="13" t="s">
        <v>597</v>
      </c>
      <c r="C24" s="14">
        <v>2.4</v>
      </c>
      <c r="D24" s="15">
        <v>3.3</v>
      </c>
      <c r="E24" s="14">
        <v>12</v>
      </c>
      <c r="F24" s="15">
        <v>39.5</v>
      </c>
      <c r="G24" s="27" t="s">
        <v>160</v>
      </c>
      <c r="H24" s="28">
        <v>2900</v>
      </c>
      <c r="I24" s="38" t="s">
        <v>28</v>
      </c>
      <c r="J24" s="39">
        <v>32</v>
      </c>
      <c r="K24" s="42">
        <f>0.6*0.25*0.328</f>
        <v>4.9200000000000001E-2</v>
      </c>
      <c r="L24" s="78"/>
      <c r="M24" s="78">
        <v>691.5089999999999</v>
      </c>
    </row>
    <row r="25" spans="2:13" ht="15" thickBot="1">
      <c r="B25" s="13" t="s">
        <v>598</v>
      </c>
      <c r="C25" s="14">
        <v>3</v>
      </c>
      <c r="D25" s="15">
        <v>4</v>
      </c>
      <c r="E25" s="14">
        <v>12</v>
      </c>
      <c r="F25" s="15">
        <v>50</v>
      </c>
      <c r="G25" s="27" t="s">
        <v>160</v>
      </c>
      <c r="H25" s="28">
        <v>2900</v>
      </c>
      <c r="I25" s="38" t="s">
        <v>30</v>
      </c>
      <c r="J25" s="39">
        <v>38</v>
      </c>
      <c r="K25" s="42">
        <f>0.63*0.25*0.336</f>
        <v>5.2920000000000002E-2</v>
      </c>
      <c r="L25" s="78"/>
      <c r="M25" s="78">
        <v>803.25</v>
      </c>
    </row>
    <row r="26" spans="2:13" ht="15" thickBot="1">
      <c r="B26" s="13" t="s">
        <v>599</v>
      </c>
      <c r="C26" s="14">
        <v>1.1000000000000001</v>
      </c>
      <c r="D26" s="15">
        <v>1.5</v>
      </c>
      <c r="E26" s="14">
        <v>16</v>
      </c>
      <c r="F26" s="15">
        <v>10.5</v>
      </c>
      <c r="G26" s="27" t="s">
        <v>160</v>
      </c>
      <c r="H26" s="28">
        <v>2900</v>
      </c>
      <c r="I26" s="38" t="s">
        <v>137</v>
      </c>
      <c r="J26" s="39">
        <v>23</v>
      </c>
      <c r="K26" s="42">
        <f>0.58*0.25*0.328</f>
        <v>4.7559999999999998E-2</v>
      </c>
      <c r="L26" s="78">
        <v>537.99899999999991</v>
      </c>
      <c r="M26" s="78">
        <v>496.23</v>
      </c>
    </row>
    <row r="27" spans="2:13" ht="15" thickBot="1">
      <c r="B27" s="13" t="s">
        <v>600</v>
      </c>
      <c r="C27" s="14">
        <v>2.2000000000000002</v>
      </c>
      <c r="D27" s="15">
        <v>3</v>
      </c>
      <c r="E27" s="14">
        <v>16</v>
      </c>
      <c r="F27" s="15">
        <v>21.7</v>
      </c>
      <c r="G27" s="27" t="s">
        <v>160</v>
      </c>
      <c r="H27" s="28">
        <v>2900</v>
      </c>
      <c r="I27" s="38" t="s">
        <v>24</v>
      </c>
      <c r="J27" s="39">
        <v>30</v>
      </c>
      <c r="K27" s="42">
        <f>0.6*0.25*0.328</f>
        <v>4.9200000000000001E-2</v>
      </c>
      <c r="L27" s="78">
        <v>637.95899999999995</v>
      </c>
      <c r="M27" s="78">
        <v>566.55899999999997</v>
      </c>
    </row>
    <row r="28" spans="2:13" ht="15" thickBot="1">
      <c r="B28" s="13" t="s">
        <v>601</v>
      </c>
      <c r="C28" s="14">
        <v>3</v>
      </c>
      <c r="D28" s="15">
        <v>4</v>
      </c>
      <c r="E28" s="14">
        <v>16</v>
      </c>
      <c r="F28" s="15">
        <v>34</v>
      </c>
      <c r="G28" s="27" t="s">
        <v>160</v>
      </c>
      <c r="H28" s="28">
        <v>2900</v>
      </c>
      <c r="I28" s="38" t="s">
        <v>26</v>
      </c>
      <c r="J28" s="39">
        <v>38</v>
      </c>
      <c r="K28" s="42">
        <f>0.63*0.25*0.336</f>
        <v>5.2920000000000002E-2</v>
      </c>
      <c r="L28" s="78"/>
      <c r="M28" s="78">
        <v>761.48100000000011</v>
      </c>
    </row>
    <row r="29" spans="2:13" ht="15" thickBot="1">
      <c r="B29" s="13" t="s">
        <v>602</v>
      </c>
      <c r="C29" s="14">
        <v>1.1000000000000001</v>
      </c>
      <c r="D29" s="15">
        <v>1.5</v>
      </c>
      <c r="E29" s="14">
        <v>20</v>
      </c>
      <c r="F29" s="15">
        <v>10</v>
      </c>
      <c r="G29" s="27" t="s">
        <v>160</v>
      </c>
      <c r="H29" s="28">
        <v>2900</v>
      </c>
      <c r="I29" s="38" t="s">
        <v>137</v>
      </c>
      <c r="J29" s="39">
        <v>24</v>
      </c>
      <c r="K29" s="42">
        <f>0.58*0.25*0.328</f>
        <v>4.7559999999999998E-2</v>
      </c>
      <c r="L29" s="78">
        <v>549.78</v>
      </c>
      <c r="M29" s="78">
        <v>508.01100000000008</v>
      </c>
    </row>
    <row r="30" spans="2:13" ht="15" thickBot="1">
      <c r="B30" s="13" t="s">
        <v>603</v>
      </c>
      <c r="C30" s="14">
        <v>2.2000000000000002</v>
      </c>
      <c r="D30" s="15">
        <v>3</v>
      </c>
      <c r="E30" s="14">
        <v>20</v>
      </c>
      <c r="F30" s="15">
        <v>22</v>
      </c>
      <c r="G30" s="27" t="s">
        <v>160</v>
      </c>
      <c r="H30" s="28">
        <v>2900</v>
      </c>
      <c r="I30" s="38" t="s">
        <v>24</v>
      </c>
      <c r="J30" s="39">
        <v>31</v>
      </c>
      <c r="K30" s="42">
        <f>0.6*0.25*0.328</f>
        <v>4.9200000000000001E-2</v>
      </c>
      <c r="L30" s="78">
        <v>732.92100000000005</v>
      </c>
      <c r="M30" s="78">
        <v>661.52100000000007</v>
      </c>
    </row>
    <row r="31" spans="2:13" ht="15" thickBot="1">
      <c r="B31" s="13" t="s">
        <v>604</v>
      </c>
      <c r="C31" s="14">
        <v>4</v>
      </c>
      <c r="D31" s="15">
        <v>5.5</v>
      </c>
      <c r="E31" s="14">
        <v>20</v>
      </c>
      <c r="F31" s="15">
        <v>34</v>
      </c>
      <c r="G31" s="27" t="s">
        <v>160</v>
      </c>
      <c r="H31" s="28">
        <v>2900</v>
      </c>
      <c r="I31" s="38" t="s">
        <v>26</v>
      </c>
      <c r="J31" s="39">
        <v>46</v>
      </c>
      <c r="K31" s="42">
        <f>0.67*0.25*0.33</f>
        <v>5.5275000000000005E-2</v>
      </c>
      <c r="L31" s="78"/>
      <c r="M31" s="78">
        <v>837.87899999999991</v>
      </c>
    </row>
    <row r="32" spans="2:13" ht="23.25" thickBot="1">
      <c r="B32" s="8"/>
      <c r="C32" s="8"/>
      <c r="D32" s="8"/>
      <c r="E32" s="8"/>
      <c r="F32" s="8"/>
      <c r="G32" s="8"/>
      <c r="H32" s="1"/>
      <c r="I32" s="8"/>
      <c r="J32" s="1"/>
      <c r="K32" s="1"/>
      <c r="L32" s="8"/>
      <c r="M32" s="8"/>
    </row>
    <row r="33" spans="2:13" ht="71.25">
      <c r="B33" s="112" t="s">
        <v>1381</v>
      </c>
      <c r="C33" s="320" t="s">
        <v>3211</v>
      </c>
      <c r="D33" s="321"/>
      <c r="E33" s="321"/>
      <c r="F33" s="321"/>
      <c r="G33" s="321"/>
      <c r="H33" s="321"/>
      <c r="I33" s="321"/>
      <c r="J33" s="321"/>
      <c r="K33" s="321"/>
      <c r="L33" s="321"/>
      <c r="M33" s="321"/>
    </row>
    <row r="34" spans="2:13" ht="15">
      <c r="B34" s="47" t="s">
        <v>192</v>
      </c>
      <c r="C34" s="48" t="s">
        <v>191</v>
      </c>
      <c r="D34" s="49"/>
      <c r="E34" s="52"/>
      <c r="F34" s="52"/>
      <c r="G34" s="52"/>
      <c r="H34" s="52"/>
      <c r="I34" s="52"/>
      <c r="J34" s="52"/>
      <c r="K34" s="52"/>
      <c r="L34" s="52"/>
      <c r="M34" s="52"/>
    </row>
    <row r="35" spans="2:13" ht="43.5" customHeight="1">
      <c r="B35" s="47" t="s">
        <v>193</v>
      </c>
      <c r="C35" s="318" t="s">
        <v>1274</v>
      </c>
      <c r="D35" s="319"/>
      <c r="E35" s="319"/>
      <c r="F35" s="319"/>
      <c r="G35" s="319"/>
      <c r="H35" s="319"/>
      <c r="I35" s="319"/>
      <c r="J35" s="319"/>
      <c r="K35" s="319"/>
      <c r="L35" s="319"/>
      <c r="M35" s="319"/>
    </row>
    <row r="36" spans="2:13" ht="15">
      <c r="B36" s="47" t="s">
        <v>194</v>
      </c>
      <c r="C36" s="48" t="s">
        <v>195</v>
      </c>
      <c r="D36" s="49"/>
      <c r="E36" s="52"/>
      <c r="F36" s="52"/>
      <c r="G36" s="52"/>
      <c r="H36" s="52"/>
      <c r="I36" s="52"/>
      <c r="J36" s="52"/>
      <c r="K36" s="52"/>
      <c r="L36" s="52"/>
      <c r="M36" s="52"/>
    </row>
    <row r="37" spans="2:13" ht="15">
      <c r="B37" s="60" t="s">
        <v>529</v>
      </c>
      <c r="C37" s="56" t="s">
        <v>530</v>
      </c>
      <c r="D37" s="57"/>
      <c r="E37" s="58"/>
      <c r="F37" s="58"/>
      <c r="G37" s="58"/>
      <c r="H37" s="58"/>
      <c r="I37" s="58"/>
      <c r="J37" s="58"/>
      <c r="K37" s="58"/>
      <c r="L37" s="58"/>
      <c r="M37" s="58"/>
    </row>
  </sheetData>
  <mergeCells count="7">
    <mergeCell ref="C35:M35"/>
    <mergeCell ref="B5:B6"/>
    <mergeCell ref="C5:D6"/>
    <mergeCell ref="E5:F5"/>
    <mergeCell ref="L5:M5"/>
    <mergeCell ref="L6:M6"/>
    <mergeCell ref="C33:M33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19">
    <tabColor theme="4" tint="0.39997558519241921"/>
  </sheetPr>
  <dimension ref="B3:M41"/>
  <sheetViews>
    <sheetView workbookViewId="0"/>
  </sheetViews>
  <sheetFormatPr defaultRowHeight="14.25"/>
  <cols>
    <col min="1" max="1" width="36.125" customWidth="1"/>
    <col min="2" max="2" width="16" customWidth="1"/>
    <col min="12" max="13" width="9" customWidth="1"/>
  </cols>
  <sheetData>
    <row r="3" spans="2:13" ht="25.5">
      <c r="B3" s="94" t="s">
        <v>605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3" t="s">
        <v>0</v>
      </c>
      <c r="C5" s="255" t="s">
        <v>1</v>
      </c>
      <c r="D5" s="253"/>
      <c r="E5" s="265" t="s">
        <v>2</v>
      </c>
      <c r="F5" s="265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9" t="s">
        <v>8</v>
      </c>
      <c r="M5" s="255"/>
    </row>
    <row r="6" spans="2:13" ht="15">
      <c r="B6" s="254"/>
      <c r="C6" s="256"/>
      <c r="D6" s="254"/>
      <c r="E6" s="20" t="s">
        <v>9</v>
      </c>
      <c r="F6" s="10" t="s">
        <v>10</v>
      </c>
      <c r="G6" s="21"/>
      <c r="H6" s="22"/>
      <c r="I6" s="32"/>
      <c r="J6" s="33"/>
      <c r="K6" s="33"/>
      <c r="L6" s="260" t="s">
        <v>11</v>
      </c>
      <c r="M6" s="261"/>
    </row>
    <row r="7" spans="2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2:13" ht="15" thickBot="1">
      <c r="B8" s="13" t="s">
        <v>606</v>
      </c>
      <c r="C8" s="14">
        <v>0.37</v>
      </c>
      <c r="D8" s="15">
        <v>0.5</v>
      </c>
      <c r="E8" s="14">
        <v>2</v>
      </c>
      <c r="F8" s="15">
        <v>15</v>
      </c>
      <c r="G8" s="27" t="s">
        <v>23</v>
      </c>
      <c r="H8" s="28">
        <v>2900</v>
      </c>
      <c r="I8" s="38" t="s">
        <v>24</v>
      </c>
      <c r="J8" s="39">
        <v>16</v>
      </c>
      <c r="K8" s="40">
        <f>0.325*0.165*0.29</f>
        <v>1.5551250000000001E-2</v>
      </c>
      <c r="L8" s="78">
        <v>295.596</v>
      </c>
      <c r="M8" s="78">
        <v>277.74600000000004</v>
      </c>
    </row>
    <row r="9" spans="2:13" ht="15" thickBot="1">
      <c r="B9" s="13" t="s">
        <v>607</v>
      </c>
      <c r="C9" s="14">
        <v>0.37</v>
      </c>
      <c r="D9" s="15">
        <v>0.5</v>
      </c>
      <c r="E9" s="14">
        <v>2</v>
      </c>
      <c r="F9" s="15">
        <v>22</v>
      </c>
      <c r="G9" s="27" t="s">
        <v>23</v>
      </c>
      <c r="H9" s="28">
        <v>2900</v>
      </c>
      <c r="I9" s="38" t="s">
        <v>26</v>
      </c>
      <c r="J9" s="39">
        <v>16</v>
      </c>
      <c r="K9" s="42">
        <f>0.343*0.165*0.29</f>
        <v>1.6412550000000001E-2</v>
      </c>
      <c r="L9" s="78">
        <v>308.09100000000001</v>
      </c>
      <c r="M9" s="78">
        <v>290.24100000000004</v>
      </c>
    </row>
    <row r="10" spans="2:13" ht="15" thickBot="1">
      <c r="B10" s="13" t="s">
        <v>608</v>
      </c>
      <c r="C10" s="14">
        <v>0.55000000000000004</v>
      </c>
      <c r="D10" s="15">
        <v>0.75</v>
      </c>
      <c r="E10" s="14">
        <v>2</v>
      </c>
      <c r="F10" s="15">
        <v>29</v>
      </c>
      <c r="G10" s="27" t="s">
        <v>23</v>
      </c>
      <c r="H10" s="28">
        <v>2900</v>
      </c>
      <c r="I10" s="38" t="s">
        <v>28</v>
      </c>
      <c r="J10" s="39">
        <v>16</v>
      </c>
      <c r="K10" s="42">
        <f>0.361*0.165*0.29</f>
        <v>1.727385E-2</v>
      </c>
      <c r="L10" s="78">
        <v>331.29599999999999</v>
      </c>
      <c r="M10" s="78">
        <v>304.52100000000002</v>
      </c>
    </row>
    <row r="11" spans="2:13" ht="15" thickBot="1">
      <c r="B11" s="13" t="s">
        <v>609</v>
      </c>
      <c r="C11" s="14">
        <v>0.55000000000000004</v>
      </c>
      <c r="D11" s="15">
        <v>0.75</v>
      </c>
      <c r="E11" s="14">
        <v>2</v>
      </c>
      <c r="F11" s="15">
        <v>36</v>
      </c>
      <c r="G11" s="27" t="s">
        <v>23</v>
      </c>
      <c r="H11" s="28">
        <v>2900</v>
      </c>
      <c r="I11" s="38" t="s">
        <v>30</v>
      </c>
      <c r="J11" s="39">
        <v>16</v>
      </c>
      <c r="K11" s="42">
        <f>0.379*0.165*0.29</f>
        <v>1.8135149999999999E-2</v>
      </c>
      <c r="L11" s="78">
        <v>361.64100000000002</v>
      </c>
      <c r="M11" s="78">
        <v>338.07900000000001</v>
      </c>
    </row>
    <row r="12" spans="2:13" ht="15" thickBot="1">
      <c r="B12" s="13" t="s">
        <v>610</v>
      </c>
      <c r="C12" s="14">
        <v>0.75</v>
      </c>
      <c r="D12" s="15">
        <v>1</v>
      </c>
      <c r="E12" s="14">
        <v>2</v>
      </c>
      <c r="F12" s="15">
        <v>44</v>
      </c>
      <c r="G12" s="27" t="s">
        <v>23</v>
      </c>
      <c r="H12" s="28">
        <v>2900</v>
      </c>
      <c r="I12" s="38" t="s">
        <v>32</v>
      </c>
      <c r="J12" s="39">
        <v>19</v>
      </c>
      <c r="K12" s="42">
        <f>0.442*0.19*0.305</f>
        <v>2.5613899999999998E-2</v>
      </c>
      <c r="L12" s="78">
        <v>427.68600000000004</v>
      </c>
      <c r="M12" s="78">
        <v>397.34100000000001</v>
      </c>
    </row>
    <row r="13" spans="2:13" ht="15" thickBot="1">
      <c r="B13" s="13" t="s">
        <v>611</v>
      </c>
      <c r="C13" s="14">
        <v>0.37</v>
      </c>
      <c r="D13" s="15">
        <v>0.5</v>
      </c>
      <c r="E13" s="14">
        <v>4</v>
      </c>
      <c r="F13" s="15">
        <v>15</v>
      </c>
      <c r="G13" s="27" t="s">
        <v>538</v>
      </c>
      <c r="H13" s="28">
        <v>2900</v>
      </c>
      <c r="I13" s="38" t="s">
        <v>24</v>
      </c>
      <c r="J13" s="39">
        <v>16</v>
      </c>
      <c r="K13" s="42">
        <f>0.349*0.165*0.29</f>
        <v>1.6699649999999996E-2</v>
      </c>
      <c r="L13" s="78">
        <v>299.166</v>
      </c>
      <c r="M13" s="78">
        <v>281.31600000000003</v>
      </c>
    </row>
    <row r="14" spans="2:13" ht="15" thickBot="1">
      <c r="B14" s="13" t="s">
        <v>612</v>
      </c>
      <c r="C14" s="14">
        <v>0.55000000000000004</v>
      </c>
      <c r="D14" s="15">
        <v>0.75</v>
      </c>
      <c r="E14" s="14">
        <v>4</v>
      </c>
      <c r="F14" s="15">
        <v>23.5</v>
      </c>
      <c r="G14" s="27" t="s">
        <v>538</v>
      </c>
      <c r="H14" s="28">
        <v>2900</v>
      </c>
      <c r="I14" s="38" t="s">
        <v>26</v>
      </c>
      <c r="J14" s="39">
        <v>16</v>
      </c>
      <c r="K14" s="42">
        <f>0.376*0.165*0.29</f>
        <v>1.79916E-2</v>
      </c>
      <c r="L14" s="78">
        <v>322.37100000000004</v>
      </c>
      <c r="M14" s="78">
        <v>299.166</v>
      </c>
    </row>
    <row r="15" spans="2:13" ht="15" thickBot="1">
      <c r="B15" s="13" t="s">
        <v>613</v>
      </c>
      <c r="C15" s="14">
        <v>0.75</v>
      </c>
      <c r="D15" s="15">
        <v>1</v>
      </c>
      <c r="E15" s="14">
        <v>4</v>
      </c>
      <c r="F15" s="15">
        <v>31</v>
      </c>
      <c r="G15" s="27" t="s">
        <v>538</v>
      </c>
      <c r="H15" s="28">
        <v>2900</v>
      </c>
      <c r="I15" s="38" t="s">
        <v>28</v>
      </c>
      <c r="J15" s="39">
        <v>19</v>
      </c>
      <c r="K15" s="42">
        <f>0.436*0.19*0.305</f>
        <v>2.5266199999999999E-2</v>
      </c>
      <c r="L15" s="78">
        <v>383.06100000000004</v>
      </c>
      <c r="M15" s="78">
        <v>352.71600000000001</v>
      </c>
    </row>
    <row r="16" spans="2:13" ht="15" thickBot="1">
      <c r="B16" s="13" t="s">
        <v>614</v>
      </c>
      <c r="C16" s="14">
        <v>1.1000000000000001</v>
      </c>
      <c r="D16" s="15">
        <v>1.5</v>
      </c>
      <c r="E16" s="14">
        <v>4</v>
      </c>
      <c r="F16" s="15">
        <v>39</v>
      </c>
      <c r="G16" s="27" t="s">
        <v>538</v>
      </c>
      <c r="H16" s="28">
        <v>2900</v>
      </c>
      <c r="I16" s="38" t="s">
        <v>30</v>
      </c>
      <c r="J16" s="39">
        <v>19</v>
      </c>
      <c r="K16" s="42">
        <f>0.475*0.19*0.305</f>
        <v>2.7526249999999999E-2</v>
      </c>
      <c r="L16" s="78">
        <v>442.68</v>
      </c>
      <c r="M16" s="78">
        <v>400.911</v>
      </c>
    </row>
    <row r="17" spans="2:13" ht="15" thickBot="1">
      <c r="B17" s="13" t="s">
        <v>615</v>
      </c>
      <c r="C17" s="14">
        <v>1.1000000000000001</v>
      </c>
      <c r="D17" s="15">
        <v>1.5</v>
      </c>
      <c r="E17" s="14">
        <v>4</v>
      </c>
      <c r="F17" s="15">
        <v>47</v>
      </c>
      <c r="G17" s="27" t="s">
        <v>538</v>
      </c>
      <c r="H17" s="28">
        <v>2900</v>
      </c>
      <c r="I17" s="38" t="s">
        <v>32</v>
      </c>
      <c r="J17" s="39">
        <v>19</v>
      </c>
      <c r="K17" s="42">
        <f>0.502*0.19*0.305</f>
        <v>2.9090900000000003E-2</v>
      </c>
      <c r="L17" s="78">
        <v>466.59899999999993</v>
      </c>
      <c r="M17" s="78">
        <v>436.61100000000005</v>
      </c>
    </row>
    <row r="18" spans="2:13" ht="15" thickBot="1">
      <c r="B18" s="13" t="s">
        <v>616</v>
      </c>
      <c r="C18" s="14">
        <v>0.75</v>
      </c>
      <c r="D18" s="15">
        <v>1</v>
      </c>
      <c r="E18" s="14">
        <v>8</v>
      </c>
      <c r="F18" s="15">
        <v>9</v>
      </c>
      <c r="G18" s="27" t="s">
        <v>572</v>
      </c>
      <c r="H18" s="28">
        <v>2900</v>
      </c>
      <c r="I18" s="38" t="s">
        <v>137</v>
      </c>
      <c r="J18" s="39">
        <v>22</v>
      </c>
      <c r="K18" s="42">
        <f>0.415*0.19*0.325</f>
        <v>2.5626250000000003E-2</v>
      </c>
      <c r="L18" s="78">
        <v>455.17500000000001</v>
      </c>
      <c r="M18" s="78">
        <v>413.40600000000001</v>
      </c>
    </row>
    <row r="19" spans="2:13" ht="15" thickBot="1">
      <c r="B19" s="13" t="s">
        <v>617</v>
      </c>
      <c r="C19" s="14">
        <v>0.75</v>
      </c>
      <c r="D19" s="15">
        <v>1</v>
      </c>
      <c r="E19" s="14">
        <v>8</v>
      </c>
      <c r="F19" s="15">
        <v>18</v>
      </c>
      <c r="G19" s="27" t="s">
        <v>572</v>
      </c>
      <c r="H19" s="28">
        <v>2900</v>
      </c>
      <c r="I19" s="38" t="s">
        <v>24</v>
      </c>
      <c r="J19" s="39">
        <v>22</v>
      </c>
      <c r="K19" s="42">
        <f>0.415*0.19*0.325</f>
        <v>2.5626250000000003E-2</v>
      </c>
      <c r="L19" s="78">
        <v>457.67399999999992</v>
      </c>
      <c r="M19" s="78">
        <v>421.97399999999999</v>
      </c>
    </row>
    <row r="20" spans="2:13" ht="15" thickBot="1">
      <c r="B20" s="13" t="s">
        <v>618</v>
      </c>
      <c r="C20" s="14">
        <v>1.1000000000000001</v>
      </c>
      <c r="D20" s="15">
        <v>1.5</v>
      </c>
      <c r="E20" s="14">
        <v>8</v>
      </c>
      <c r="F20" s="15">
        <v>27</v>
      </c>
      <c r="G20" s="27" t="s">
        <v>572</v>
      </c>
      <c r="H20" s="28">
        <v>2900</v>
      </c>
      <c r="I20" s="38" t="s">
        <v>26</v>
      </c>
      <c r="J20" s="39">
        <v>27</v>
      </c>
      <c r="K20" s="42">
        <f>0.445*0.19*0.325</f>
        <v>2.747875E-2</v>
      </c>
      <c r="L20" s="78">
        <v>496.23</v>
      </c>
      <c r="M20" s="78">
        <v>451.60500000000002</v>
      </c>
    </row>
    <row r="21" spans="2:13" ht="15" thickBot="1">
      <c r="B21" s="13" t="s">
        <v>619</v>
      </c>
      <c r="C21" s="14">
        <v>1.5</v>
      </c>
      <c r="D21" s="15">
        <v>2</v>
      </c>
      <c r="E21" s="14">
        <v>8</v>
      </c>
      <c r="F21" s="15">
        <v>35</v>
      </c>
      <c r="G21" s="27" t="s">
        <v>572</v>
      </c>
      <c r="H21" s="28">
        <v>2900</v>
      </c>
      <c r="I21" s="38" t="s">
        <v>28</v>
      </c>
      <c r="J21" s="39">
        <v>30</v>
      </c>
      <c r="K21" s="42">
        <f>0.51*0.2*0.33</f>
        <v>3.3660000000000002E-2</v>
      </c>
      <c r="L21" s="78">
        <v>639.74399999999991</v>
      </c>
      <c r="M21" s="78">
        <v>580.125</v>
      </c>
    </row>
    <row r="22" spans="2:13" ht="15" thickBot="1">
      <c r="B22" s="13" t="s">
        <v>620</v>
      </c>
      <c r="C22" s="14">
        <v>2.2000000000000002</v>
      </c>
      <c r="D22" s="15">
        <v>3</v>
      </c>
      <c r="E22" s="14">
        <v>8</v>
      </c>
      <c r="F22" s="15">
        <v>45</v>
      </c>
      <c r="G22" s="27" t="s">
        <v>572</v>
      </c>
      <c r="H22" s="28">
        <v>2900</v>
      </c>
      <c r="I22" s="38" t="s">
        <v>30</v>
      </c>
      <c r="J22" s="39">
        <v>32</v>
      </c>
      <c r="K22" s="42">
        <f>0.54*0.2*0.33</f>
        <v>3.5640000000000005E-2</v>
      </c>
      <c r="L22" s="78">
        <v>795.03899999999999</v>
      </c>
      <c r="M22" s="78">
        <v>723.6389999999999</v>
      </c>
    </row>
    <row r="23" spans="2:13" ht="15" thickBot="1">
      <c r="B23" s="13" t="s">
        <v>621</v>
      </c>
      <c r="C23" s="14">
        <v>0.75</v>
      </c>
      <c r="D23" s="15">
        <v>1</v>
      </c>
      <c r="E23" s="14">
        <v>12</v>
      </c>
      <c r="F23" s="15">
        <v>9.5</v>
      </c>
      <c r="G23" s="27" t="s">
        <v>136</v>
      </c>
      <c r="H23" s="28">
        <v>2900</v>
      </c>
      <c r="I23" s="38" t="s">
        <v>137</v>
      </c>
      <c r="J23" s="39">
        <v>22</v>
      </c>
      <c r="K23" s="42">
        <f>0.415*0.19*0.325</f>
        <v>2.5626250000000003E-2</v>
      </c>
      <c r="L23" s="78">
        <v>470.16899999999993</v>
      </c>
      <c r="M23" s="78">
        <v>428.40000000000003</v>
      </c>
    </row>
    <row r="24" spans="2:13" ht="15" thickBot="1">
      <c r="B24" s="13" t="s">
        <v>622</v>
      </c>
      <c r="C24" s="14">
        <v>1.2</v>
      </c>
      <c r="D24" s="15">
        <v>1.6</v>
      </c>
      <c r="E24" s="14">
        <v>12</v>
      </c>
      <c r="F24" s="15">
        <v>19.5</v>
      </c>
      <c r="G24" s="27" t="s">
        <v>136</v>
      </c>
      <c r="H24" s="28">
        <v>2900</v>
      </c>
      <c r="I24" s="38" t="s">
        <v>24</v>
      </c>
      <c r="J24" s="39">
        <v>23</v>
      </c>
      <c r="K24" s="42">
        <f>0.415*0.19*0.325</f>
        <v>2.5626250000000003E-2</v>
      </c>
      <c r="L24" s="78">
        <v>562.27499999999998</v>
      </c>
      <c r="M24" s="78">
        <v>502.65600000000006</v>
      </c>
    </row>
    <row r="25" spans="2:13" ht="15" thickBot="1">
      <c r="B25" s="13" t="s">
        <v>623</v>
      </c>
      <c r="C25" s="14">
        <v>1.8</v>
      </c>
      <c r="D25" s="15">
        <v>2.5</v>
      </c>
      <c r="E25" s="14">
        <v>12</v>
      </c>
      <c r="F25" s="15">
        <v>29.5</v>
      </c>
      <c r="G25" s="27" t="s">
        <v>136</v>
      </c>
      <c r="H25" s="28">
        <v>2900</v>
      </c>
      <c r="I25" s="38" t="s">
        <v>26</v>
      </c>
      <c r="J25" s="39">
        <v>27</v>
      </c>
      <c r="K25" s="42">
        <f>0.48*0.2*0.33</f>
        <v>3.168E-2</v>
      </c>
      <c r="L25" s="78">
        <v>630.81899999999996</v>
      </c>
      <c r="M25" s="78">
        <v>559.41899999999998</v>
      </c>
    </row>
    <row r="26" spans="2:13" ht="15" thickBot="1">
      <c r="B26" s="13" t="s">
        <v>624</v>
      </c>
      <c r="C26" s="14">
        <v>2.4</v>
      </c>
      <c r="D26" s="15">
        <v>3.3</v>
      </c>
      <c r="E26" s="14">
        <v>12</v>
      </c>
      <c r="F26" s="15">
        <v>39.5</v>
      </c>
      <c r="G26" s="27" t="s">
        <v>136</v>
      </c>
      <c r="H26" s="28">
        <v>2900</v>
      </c>
      <c r="I26" s="38" t="s">
        <v>28</v>
      </c>
      <c r="J26" s="39">
        <v>31</v>
      </c>
      <c r="K26" s="42">
        <f>0.51*0.2*0.33</f>
        <v>3.3660000000000002E-2</v>
      </c>
      <c r="L26" s="78"/>
      <c r="M26" s="78">
        <v>708.64499999999998</v>
      </c>
    </row>
    <row r="27" spans="2:13" ht="15" thickBot="1">
      <c r="B27" s="13" t="s">
        <v>625</v>
      </c>
      <c r="C27" s="14">
        <v>3</v>
      </c>
      <c r="D27" s="15">
        <v>4</v>
      </c>
      <c r="E27" s="14">
        <v>12</v>
      </c>
      <c r="F27" s="15">
        <v>50</v>
      </c>
      <c r="G27" s="27" t="s">
        <v>136</v>
      </c>
      <c r="H27" s="28">
        <v>2900</v>
      </c>
      <c r="I27" s="38" t="s">
        <v>30</v>
      </c>
      <c r="J27" s="39">
        <v>37</v>
      </c>
      <c r="K27" s="42">
        <f>0.575*0.215*0.33</f>
        <v>4.0796249999999999E-2</v>
      </c>
      <c r="L27" s="78"/>
      <c r="M27" s="78">
        <v>837.16499999999996</v>
      </c>
    </row>
    <row r="28" spans="2:13" ht="15" thickBot="1">
      <c r="B28" s="13" t="s">
        <v>626</v>
      </c>
      <c r="C28" s="14">
        <v>1.1000000000000001</v>
      </c>
      <c r="D28" s="15">
        <v>1.5</v>
      </c>
      <c r="E28" s="14">
        <v>16</v>
      </c>
      <c r="F28" s="15">
        <v>10.5</v>
      </c>
      <c r="G28" s="27" t="s">
        <v>160</v>
      </c>
      <c r="H28" s="28">
        <v>2900</v>
      </c>
      <c r="I28" s="38" t="s">
        <v>137</v>
      </c>
      <c r="J28" s="39">
        <v>19</v>
      </c>
      <c r="K28" s="42">
        <f>0.443*0.19*0.325</f>
        <v>2.7355250000000005E-2</v>
      </c>
      <c r="L28" s="78">
        <v>511.58100000000007</v>
      </c>
      <c r="M28" s="78">
        <v>470.16899999999993</v>
      </c>
    </row>
    <row r="29" spans="2:13" ht="15" thickBot="1">
      <c r="B29" s="13" t="s">
        <v>627</v>
      </c>
      <c r="C29" s="14">
        <v>2.2000000000000002</v>
      </c>
      <c r="D29" s="15">
        <v>3</v>
      </c>
      <c r="E29" s="14">
        <v>16</v>
      </c>
      <c r="F29" s="15">
        <v>21.7</v>
      </c>
      <c r="G29" s="27" t="s">
        <v>160</v>
      </c>
      <c r="H29" s="28">
        <v>2900</v>
      </c>
      <c r="I29" s="38" t="s">
        <v>24</v>
      </c>
      <c r="J29" s="39">
        <v>29</v>
      </c>
      <c r="K29" s="42">
        <f>0.475*0.2*0.33</f>
        <v>3.1350000000000003E-2</v>
      </c>
      <c r="L29" s="78">
        <v>642.6</v>
      </c>
      <c r="M29" s="78">
        <v>571.20000000000005</v>
      </c>
    </row>
    <row r="30" spans="2:13" ht="15" thickBot="1">
      <c r="B30" s="13" t="s">
        <v>628</v>
      </c>
      <c r="C30" s="14">
        <v>3</v>
      </c>
      <c r="D30" s="15">
        <v>4</v>
      </c>
      <c r="E30" s="14">
        <v>16</v>
      </c>
      <c r="F30" s="15">
        <v>34</v>
      </c>
      <c r="G30" s="27" t="s">
        <v>160</v>
      </c>
      <c r="H30" s="28">
        <v>2900</v>
      </c>
      <c r="I30" s="38" t="s">
        <v>26</v>
      </c>
      <c r="J30" s="39">
        <v>36</v>
      </c>
      <c r="K30" s="42">
        <f>0.581*0.215*0.33</f>
        <v>4.1221949999999993E-2</v>
      </c>
      <c r="L30" s="78"/>
      <c r="M30" s="78">
        <v>735.42</v>
      </c>
    </row>
    <row r="31" spans="2:13" ht="15" thickBot="1">
      <c r="B31" s="13" t="s">
        <v>629</v>
      </c>
      <c r="C31" s="14">
        <v>4</v>
      </c>
      <c r="D31" s="15">
        <v>5.5</v>
      </c>
      <c r="E31" s="14">
        <v>16</v>
      </c>
      <c r="F31" s="15">
        <v>45</v>
      </c>
      <c r="G31" s="27" t="s">
        <v>160</v>
      </c>
      <c r="H31" s="28">
        <v>2900</v>
      </c>
      <c r="I31" s="38" t="s">
        <v>28</v>
      </c>
      <c r="J31" s="39">
        <v>45</v>
      </c>
      <c r="K31" s="42">
        <f>0.641*0.25*0.33</f>
        <v>5.2882500000000006E-2</v>
      </c>
      <c r="L31" s="78"/>
      <c r="M31" s="78">
        <v>848.94600000000014</v>
      </c>
    </row>
    <row r="32" spans="2:13" ht="15" thickBot="1">
      <c r="B32" s="13" t="s">
        <v>630</v>
      </c>
      <c r="C32" s="14">
        <v>1.1000000000000001</v>
      </c>
      <c r="D32" s="15">
        <v>1.5</v>
      </c>
      <c r="E32" s="14">
        <v>20</v>
      </c>
      <c r="F32" s="15">
        <v>10</v>
      </c>
      <c r="G32" s="27" t="s">
        <v>160</v>
      </c>
      <c r="H32" s="28">
        <v>2900</v>
      </c>
      <c r="I32" s="38" t="s">
        <v>137</v>
      </c>
      <c r="J32" s="39">
        <v>19</v>
      </c>
      <c r="K32" s="42">
        <f>0.443*0.19*0.325</f>
        <v>2.7355250000000005E-2</v>
      </c>
      <c r="L32" s="78">
        <v>529.43100000000004</v>
      </c>
      <c r="M32" s="78">
        <v>488.01899999999995</v>
      </c>
    </row>
    <row r="33" spans="2:13" ht="15" thickBot="1">
      <c r="B33" s="13" t="s">
        <v>631</v>
      </c>
      <c r="C33" s="14">
        <v>2.2000000000000002</v>
      </c>
      <c r="D33" s="15">
        <v>3</v>
      </c>
      <c r="E33" s="14">
        <v>20</v>
      </c>
      <c r="F33" s="15">
        <v>22</v>
      </c>
      <c r="G33" s="27" t="s">
        <v>160</v>
      </c>
      <c r="H33" s="28">
        <v>2900</v>
      </c>
      <c r="I33" s="38" t="s">
        <v>24</v>
      </c>
      <c r="J33" s="39">
        <v>29</v>
      </c>
      <c r="K33" s="42">
        <f>0.475*0.2*0.33</f>
        <v>3.1350000000000003E-2</v>
      </c>
      <c r="L33" s="78">
        <v>657.59399999999994</v>
      </c>
      <c r="M33" s="78">
        <v>586.19399999999996</v>
      </c>
    </row>
    <row r="34" spans="2:13" ht="15" thickBot="1">
      <c r="B34" s="13" t="s">
        <v>632</v>
      </c>
      <c r="C34" s="14">
        <v>4</v>
      </c>
      <c r="D34" s="15">
        <v>5.5</v>
      </c>
      <c r="E34" s="14">
        <v>20</v>
      </c>
      <c r="F34" s="15">
        <v>34</v>
      </c>
      <c r="G34" s="27" t="s">
        <v>160</v>
      </c>
      <c r="H34" s="28">
        <v>2900</v>
      </c>
      <c r="I34" s="38" t="s">
        <v>26</v>
      </c>
      <c r="J34" s="39">
        <v>44</v>
      </c>
      <c r="K34" s="42">
        <f>0.596*0.25*0.33</f>
        <v>4.9169999999999998E-2</v>
      </c>
      <c r="L34" s="78"/>
      <c r="M34" s="78">
        <v>813.24600000000009</v>
      </c>
    </row>
    <row r="35" spans="2:13" ht="15" thickBot="1">
      <c r="B35" s="13" t="s">
        <v>633</v>
      </c>
      <c r="C35" s="14">
        <v>4.4000000000000004</v>
      </c>
      <c r="D35" s="15">
        <v>6</v>
      </c>
      <c r="E35" s="14">
        <v>20</v>
      </c>
      <c r="F35" s="15">
        <v>46.5</v>
      </c>
      <c r="G35" s="27" t="s">
        <v>160</v>
      </c>
      <c r="H35" s="28">
        <v>2900</v>
      </c>
      <c r="I35" s="38" t="s">
        <v>28</v>
      </c>
      <c r="J35" s="39">
        <v>48</v>
      </c>
      <c r="K35" s="42">
        <f>0.641*0.25*0.33</f>
        <v>5.2882500000000006E-2</v>
      </c>
      <c r="L35" s="78"/>
      <c r="M35" s="78">
        <v>906.06600000000003</v>
      </c>
    </row>
    <row r="36" spans="2:13" ht="23.25" thickBot="1">
      <c r="B36" s="8"/>
      <c r="C36" s="8"/>
      <c r="D36" s="8"/>
      <c r="E36" s="8"/>
      <c r="F36" s="8"/>
      <c r="G36" s="8"/>
      <c r="H36" s="1"/>
      <c r="I36" s="8"/>
      <c r="J36" s="1"/>
      <c r="K36" s="1"/>
      <c r="L36" s="8"/>
      <c r="M36" s="8"/>
    </row>
    <row r="37" spans="2:13" ht="71.25">
      <c r="B37" s="112" t="s">
        <v>1381</v>
      </c>
      <c r="C37" s="320" t="s">
        <v>3212</v>
      </c>
      <c r="D37" s="321"/>
      <c r="E37" s="321"/>
      <c r="F37" s="321"/>
      <c r="G37" s="321"/>
      <c r="H37" s="321"/>
      <c r="I37" s="321"/>
      <c r="J37" s="321"/>
      <c r="K37" s="321"/>
      <c r="L37" s="321"/>
      <c r="M37" s="321"/>
    </row>
    <row r="38" spans="2:13" ht="15">
      <c r="B38" s="47" t="s">
        <v>192</v>
      </c>
      <c r="C38" s="48" t="s">
        <v>191</v>
      </c>
      <c r="D38" s="49"/>
      <c r="E38" s="52"/>
      <c r="F38" s="52"/>
      <c r="G38" s="52"/>
      <c r="H38" s="52"/>
      <c r="I38" s="52"/>
      <c r="J38" s="52"/>
      <c r="K38" s="52"/>
      <c r="L38" s="52"/>
      <c r="M38" s="52"/>
    </row>
    <row r="39" spans="2:13">
      <c r="B39" s="47" t="s">
        <v>193</v>
      </c>
      <c r="C39" s="318" t="s">
        <v>1274</v>
      </c>
      <c r="D39" s="319"/>
      <c r="E39" s="319"/>
      <c r="F39" s="319"/>
      <c r="G39" s="319"/>
      <c r="H39" s="319"/>
      <c r="I39" s="319"/>
      <c r="J39" s="319"/>
      <c r="K39" s="319"/>
      <c r="L39" s="319"/>
      <c r="M39" s="319"/>
    </row>
    <row r="40" spans="2:13" ht="15">
      <c r="B40" s="47" t="s">
        <v>194</v>
      </c>
      <c r="C40" s="48" t="s">
        <v>195</v>
      </c>
      <c r="D40" s="49"/>
      <c r="E40" s="52"/>
      <c r="F40" s="52"/>
      <c r="G40" s="52"/>
      <c r="H40" s="52"/>
      <c r="I40" s="52"/>
      <c r="J40" s="52"/>
      <c r="K40" s="52"/>
      <c r="L40" s="52"/>
      <c r="M40" s="52"/>
    </row>
    <row r="41" spans="2:13" ht="15">
      <c r="B41" s="60" t="s">
        <v>529</v>
      </c>
      <c r="C41" s="56" t="s">
        <v>530</v>
      </c>
      <c r="D41" s="57"/>
      <c r="E41" s="58"/>
      <c r="F41" s="58"/>
      <c r="G41" s="58"/>
      <c r="H41" s="58"/>
      <c r="I41" s="58"/>
      <c r="J41" s="58"/>
      <c r="K41" s="58"/>
      <c r="L41" s="58"/>
      <c r="M41" s="58"/>
    </row>
  </sheetData>
  <mergeCells count="7">
    <mergeCell ref="C37:M37"/>
    <mergeCell ref="C39:M39"/>
    <mergeCell ref="B5:B6"/>
    <mergeCell ref="C5:D6"/>
    <mergeCell ref="E5:F5"/>
    <mergeCell ref="L5:M5"/>
    <mergeCell ref="L6:M6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0">
    <tabColor theme="4" tint="0.39997558519241921"/>
  </sheetPr>
  <dimension ref="B3:M41"/>
  <sheetViews>
    <sheetView workbookViewId="0"/>
  </sheetViews>
  <sheetFormatPr defaultRowHeight="14.25"/>
  <cols>
    <col min="1" max="1" width="36.875" customWidth="1"/>
    <col min="2" max="2" width="15.625" customWidth="1"/>
    <col min="12" max="12" width="11.375" customWidth="1"/>
    <col min="13" max="13" width="10.625" customWidth="1"/>
  </cols>
  <sheetData>
    <row r="3" spans="2:13" ht="25.5">
      <c r="B3" s="53" t="s">
        <v>634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3" t="s">
        <v>0</v>
      </c>
      <c r="C5" s="255" t="s">
        <v>1</v>
      </c>
      <c r="D5" s="253"/>
      <c r="E5" s="265" t="s">
        <v>2</v>
      </c>
      <c r="F5" s="265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9" t="s">
        <v>8</v>
      </c>
      <c r="M5" s="255"/>
    </row>
    <row r="6" spans="2:13" ht="15">
      <c r="B6" s="254"/>
      <c r="C6" s="256"/>
      <c r="D6" s="254"/>
      <c r="E6" s="20" t="s">
        <v>9</v>
      </c>
      <c r="F6" s="10" t="s">
        <v>10</v>
      </c>
      <c r="G6" s="21"/>
      <c r="H6" s="22"/>
      <c r="I6" s="32"/>
      <c r="J6" s="33"/>
      <c r="K6" s="33"/>
      <c r="L6" s="260" t="s">
        <v>11</v>
      </c>
      <c r="M6" s="261"/>
    </row>
    <row r="7" spans="2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2:13" ht="15" thickBot="1">
      <c r="B8" s="13" t="s">
        <v>635</v>
      </c>
      <c r="C8" s="14">
        <v>0.37</v>
      </c>
      <c r="D8" s="15">
        <v>0.5</v>
      </c>
      <c r="E8" s="14">
        <v>2</v>
      </c>
      <c r="F8" s="15">
        <v>15</v>
      </c>
      <c r="G8" s="27" t="s">
        <v>23</v>
      </c>
      <c r="H8" s="28">
        <v>2900</v>
      </c>
      <c r="I8" s="38" t="s">
        <v>24</v>
      </c>
      <c r="J8" s="39">
        <v>16</v>
      </c>
      <c r="K8" s="40">
        <f>0.325*0.165*0.29</f>
        <v>1.5551250000000001E-2</v>
      </c>
      <c r="L8" s="78">
        <v>259.89600000000002</v>
      </c>
      <c r="M8" s="78">
        <v>242.04599999999999</v>
      </c>
    </row>
    <row r="9" spans="2:13" ht="15" thickBot="1">
      <c r="B9" s="13" t="s">
        <v>636</v>
      </c>
      <c r="C9" s="14">
        <v>0.37</v>
      </c>
      <c r="D9" s="15">
        <v>0.5</v>
      </c>
      <c r="E9" s="14">
        <v>2</v>
      </c>
      <c r="F9" s="15">
        <v>22</v>
      </c>
      <c r="G9" s="27" t="s">
        <v>23</v>
      </c>
      <c r="H9" s="28">
        <v>2900</v>
      </c>
      <c r="I9" s="38" t="s">
        <v>26</v>
      </c>
      <c r="J9" s="39">
        <v>16</v>
      </c>
      <c r="K9" s="42">
        <f>0.343*0.165*0.29</f>
        <v>1.6412550000000001E-2</v>
      </c>
      <c r="L9" s="78">
        <v>274.89</v>
      </c>
      <c r="M9" s="78">
        <v>254.541</v>
      </c>
    </row>
    <row r="10" spans="2:13" ht="15" thickBot="1">
      <c r="B10" s="13" t="s">
        <v>637</v>
      </c>
      <c r="C10" s="14">
        <v>0.55000000000000004</v>
      </c>
      <c r="D10" s="15">
        <v>0.75</v>
      </c>
      <c r="E10" s="14">
        <v>2</v>
      </c>
      <c r="F10" s="15">
        <v>29</v>
      </c>
      <c r="G10" s="27" t="s">
        <v>23</v>
      </c>
      <c r="H10" s="28">
        <v>2900</v>
      </c>
      <c r="I10" s="38" t="s">
        <v>28</v>
      </c>
      <c r="J10" s="39">
        <v>16</v>
      </c>
      <c r="K10" s="42">
        <f>0.361*0.165*0.29</f>
        <v>1.727385E-2</v>
      </c>
      <c r="L10" s="78">
        <v>293.45400000000001</v>
      </c>
      <c r="M10" s="78">
        <v>268.82100000000003</v>
      </c>
    </row>
    <row r="11" spans="2:13" ht="15" thickBot="1">
      <c r="B11" s="13" t="s">
        <v>638</v>
      </c>
      <c r="C11" s="14">
        <v>0.55000000000000004</v>
      </c>
      <c r="D11" s="15">
        <v>0.75</v>
      </c>
      <c r="E11" s="14">
        <v>2</v>
      </c>
      <c r="F11" s="15">
        <v>36</v>
      </c>
      <c r="G11" s="27" t="s">
        <v>23</v>
      </c>
      <c r="H11" s="28">
        <v>2900</v>
      </c>
      <c r="I11" s="38" t="s">
        <v>30</v>
      </c>
      <c r="J11" s="39">
        <v>16</v>
      </c>
      <c r="K11" s="42">
        <f>0.379*0.165*0.29</f>
        <v>1.8135149999999999E-2</v>
      </c>
      <c r="L11" s="78">
        <v>329.154</v>
      </c>
      <c r="M11" s="78">
        <v>302.37900000000002</v>
      </c>
    </row>
    <row r="12" spans="2:13" ht="15" thickBot="1">
      <c r="B12" s="13" t="s">
        <v>639</v>
      </c>
      <c r="C12" s="14">
        <v>0.75</v>
      </c>
      <c r="D12" s="15">
        <v>1</v>
      </c>
      <c r="E12" s="14">
        <v>2</v>
      </c>
      <c r="F12" s="15">
        <v>44</v>
      </c>
      <c r="G12" s="27" t="s">
        <v>23</v>
      </c>
      <c r="H12" s="28">
        <v>2900</v>
      </c>
      <c r="I12" s="38" t="s">
        <v>32</v>
      </c>
      <c r="J12" s="39">
        <v>19</v>
      </c>
      <c r="K12" s="42">
        <f>0.442*0.19*0.305</f>
        <v>2.5613899999999998E-2</v>
      </c>
      <c r="L12" s="78">
        <v>358.78500000000003</v>
      </c>
      <c r="M12" s="78">
        <v>329.154</v>
      </c>
    </row>
    <row r="13" spans="2:13" ht="15" thickBot="1">
      <c r="B13" s="13" t="s">
        <v>640</v>
      </c>
      <c r="C13" s="14">
        <v>0.37</v>
      </c>
      <c r="D13" s="15">
        <v>0.5</v>
      </c>
      <c r="E13" s="14">
        <v>4</v>
      </c>
      <c r="F13" s="15">
        <v>15</v>
      </c>
      <c r="G13" s="27" t="s">
        <v>538</v>
      </c>
      <c r="H13" s="28">
        <v>2900</v>
      </c>
      <c r="I13" s="38" t="s">
        <v>24</v>
      </c>
      <c r="J13" s="39">
        <v>16</v>
      </c>
      <c r="K13" s="42">
        <f>0.349*0.165*0.29</f>
        <v>1.6699649999999996E-2</v>
      </c>
      <c r="L13" s="78">
        <v>268.82100000000003</v>
      </c>
      <c r="M13" s="78">
        <v>248.11500000000001</v>
      </c>
    </row>
    <row r="14" spans="2:13" ht="15" thickBot="1">
      <c r="B14" s="13" t="s">
        <v>641</v>
      </c>
      <c r="C14" s="14">
        <v>0.55000000000000004</v>
      </c>
      <c r="D14" s="15">
        <v>0.75</v>
      </c>
      <c r="E14" s="14">
        <v>4</v>
      </c>
      <c r="F14" s="15">
        <v>23.5</v>
      </c>
      <c r="G14" s="27" t="s">
        <v>538</v>
      </c>
      <c r="H14" s="28">
        <v>2900</v>
      </c>
      <c r="I14" s="38" t="s">
        <v>26</v>
      </c>
      <c r="J14" s="39">
        <v>16</v>
      </c>
      <c r="K14" s="42">
        <f>0.376*0.165*0.29</f>
        <v>1.79916E-2</v>
      </c>
      <c r="L14" s="78">
        <v>286.67099999999999</v>
      </c>
      <c r="M14" s="78">
        <v>259.89600000000002</v>
      </c>
    </row>
    <row r="15" spans="2:13" ht="15" thickBot="1">
      <c r="B15" s="13" t="s">
        <v>642</v>
      </c>
      <c r="C15" s="14">
        <v>0.75</v>
      </c>
      <c r="D15" s="15">
        <v>1</v>
      </c>
      <c r="E15" s="14">
        <v>4</v>
      </c>
      <c r="F15" s="15">
        <v>31</v>
      </c>
      <c r="G15" s="27" t="s">
        <v>538</v>
      </c>
      <c r="H15" s="28">
        <v>2900</v>
      </c>
      <c r="I15" s="38" t="s">
        <v>28</v>
      </c>
      <c r="J15" s="39">
        <v>19</v>
      </c>
      <c r="K15" s="42">
        <f>0.436*0.19*0.305</f>
        <v>2.5266199999999999E-2</v>
      </c>
      <c r="L15" s="78">
        <v>317.01600000000002</v>
      </c>
      <c r="M15" s="78">
        <v>286.67099999999999</v>
      </c>
    </row>
    <row r="16" spans="2:13" ht="15" thickBot="1">
      <c r="B16" s="13" t="s">
        <v>643</v>
      </c>
      <c r="C16" s="14">
        <v>1.1000000000000001</v>
      </c>
      <c r="D16" s="15">
        <v>1.5</v>
      </c>
      <c r="E16" s="14">
        <v>4</v>
      </c>
      <c r="F16" s="15">
        <v>39</v>
      </c>
      <c r="G16" s="27" t="s">
        <v>538</v>
      </c>
      <c r="H16" s="28">
        <v>2900</v>
      </c>
      <c r="I16" s="38" t="s">
        <v>30</v>
      </c>
      <c r="J16" s="39">
        <v>19</v>
      </c>
      <c r="K16" s="42">
        <f>0.475*0.19*0.305</f>
        <v>2.7526249999999999E-2</v>
      </c>
      <c r="L16" s="78">
        <v>409.83600000000001</v>
      </c>
      <c r="M16" s="78">
        <v>364.85399999999998</v>
      </c>
    </row>
    <row r="17" spans="2:13" ht="15" thickBot="1">
      <c r="B17" s="13" t="s">
        <v>644</v>
      </c>
      <c r="C17" s="14">
        <v>1.1000000000000001</v>
      </c>
      <c r="D17" s="15">
        <v>1.5</v>
      </c>
      <c r="E17" s="14">
        <v>4</v>
      </c>
      <c r="F17" s="15">
        <v>47</v>
      </c>
      <c r="G17" s="27" t="s">
        <v>538</v>
      </c>
      <c r="H17" s="28">
        <v>2900</v>
      </c>
      <c r="I17" s="38" t="s">
        <v>32</v>
      </c>
      <c r="J17" s="39">
        <v>19</v>
      </c>
      <c r="K17" s="42">
        <f>0.502*0.19*0.305</f>
        <v>2.9090900000000003E-2</v>
      </c>
      <c r="L17" s="78">
        <v>421.97399999999999</v>
      </c>
      <c r="M17" s="78">
        <v>375.92099999999999</v>
      </c>
    </row>
    <row r="18" spans="2:13" ht="15" thickBot="1">
      <c r="B18" s="13" t="s">
        <v>645</v>
      </c>
      <c r="C18" s="14">
        <v>0.75</v>
      </c>
      <c r="D18" s="15">
        <v>1</v>
      </c>
      <c r="E18" s="14">
        <v>8</v>
      </c>
      <c r="F18" s="15">
        <v>9</v>
      </c>
      <c r="G18" s="27" t="s">
        <v>572</v>
      </c>
      <c r="H18" s="28">
        <v>2900</v>
      </c>
      <c r="I18" s="38" t="s">
        <v>137</v>
      </c>
      <c r="J18" s="39">
        <v>22</v>
      </c>
      <c r="K18" s="42">
        <f t="shared" ref="K18:K24" si="0">0.415*0.19*0.325</f>
        <v>2.5626250000000003E-2</v>
      </c>
      <c r="L18" s="78">
        <v>419.47500000000002</v>
      </c>
      <c r="M18" s="78">
        <v>377.70600000000002</v>
      </c>
    </row>
    <row r="19" spans="2:13" ht="15" thickBot="1">
      <c r="B19" s="13" t="s">
        <v>646</v>
      </c>
      <c r="C19" s="14">
        <v>0.75</v>
      </c>
      <c r="D19" s="15">
        <v>1</v>
      </c>
      <c r="E19" s="14">
        <v>8</v>
      </c>
      <c r="F19" s="15">
        <v>18</v>
      </c>
      <c r="G19" s="27" t="s">
        <v>572</v>
      </c>
      <c r="H19" s="28">
        <v>2900</v>
      </c>
      <c r="I19" s="38" t="s">
        <v>24</v>
      </c>
      <c r="J19" s="39">
        <v>22</v>
      </c>
      <c r="K19" s="42">
        <f t="shared" si="0"/>
        <v>2.5626250000000003E-2</v>
      </c>
      <c r="L19" s="78">
        <v>421.97399999999993</v>
      </c>
      <c r="M19" s="78">
        <v>386.274</v>
      </c>
    </row>
    <row r="20" spans="2:13" ht="15" thickBot="1">
      <c r="B20" s="13" t="s">
        <v>647</v>
      </c>
      <c r="C20" s="14">
        <v>1.1000000000000001</v>
      </c>
      <c r="D20" s="15">
        <v>1.5</v>
      </c>
      <c r="E20" s="14">
        <v>8</v>
      </c>
      <c r="F20" s="15">
        <v>27</v>
      </c>
      <c r="G20" s="27" t="s">
        <v>572</v>
      </c>
      <c r="H20" s="28">
        <v>2900</v>
      </c>
      <c r="I20" s="38" t="s">
        <v>26</v>
      </c>
      <c r="J20" s="39">
        <v>27</v>
      </c>
      <c r="K20" s="42">
        <f>0.445*0.19*0.325</f>
        <v>2.747875E-2</v>
      </c>
      <c r="L20" s="78">
        <v>460.53000000000003</v>
      </c>
      <c r="M20" s="78">
        <v>415.90500000000003</v>
      </c>
    </row>
    <row r="21" spans="2:13" ht="15" thickBot="1">
      <c r="B21" s="13" t="s">
        <v>648</v>
      </c>
      <c r="C21" s="14">
        <v>1.5</v>
      </c>
      <c r="D21" s="15">
        <v>2</v>
      </c>
      <c r="E21" s="14">
        <v>8</v>
      </c>
      <c r="F21" s="15">
        <v>35</v>
      </c>
      <c r="G21" s="27" t="s">
        <v>572</v>
      </c>
      <c r="H21" s="28">
        <v>2900</v>
      </c>
      <c r="I21" s="38" t="s">
        <v>28</v>
      </c>
      <c r="J21" s="39">
        <v>30</v>
      </c>
      <c r="K21" s="42">
        <f>0.51*0.2*0.33</f>
        <v>3.3660000000000002E-2</v>
      </c>
      <c r="L21" s="78">
        <v>604.04399999999998</v>
      </c>
      <c r="M21" s="78">
        <v>544.42499999999995</v>
      </c>
    </row>
    <row r="22" spans="2:13" ht="15" thickBot="1">
      <c r="B22" s="13" t="s">
        <v>649</v>
      </c>
      <c r="C22" s="14">
        <v>2.2000000000000002</v>
      </c>
      <c r="D22" s="15">
        <v>3</v>
      </c>
      <c r="E22" s="14">
        <v>8</v>
      </c>
      <c r="F22" s="15">
        <v>45</v>
      </c>
      <c r="G22" s="27" t="s">
        <v>572</v>
      </c>
      <c r="H22" s="28">
        <v>2900</v>
      </c>
      <c r="I22" s="38" t="s">
        <v>30</v>
      </c>
      <c r="J22" s="39">
        <v>32</v>
      </c>
      <c r="K22" s="42">
        <f>0.54*0.2*0.33</f>
        <v>3.5640000000000005E-2</v>
      </c>
      <c r="L22" s="78">
        <v>759.33899999999994</v>
      </c>
      <c r="M22" s="78">
        <v>687.93899999999996</v>
      </c>
    </row>
    <row r="23" spans="2:13" ht="15" thickBot="1">
      <c r="B23" s="13" t="s">
        <v>650</v>
      </c>
      <c r="C23" s="14">
        <v>0.75</v>
      </c>
      <c r="D23" s="15">
        <v>1</v>
      </c>
      <c r="E23" s="14">
        <v>12</v>
      </c>
      <c r="F23" s="15">
        <v>9.5</v>
      </c>
      <c r="G23" s="27" t="s">
        <v>136</v>
      </c>
      <c r="H23" s="28">
        <v>2900</v>
      </c>
      <c r="I23" s="38" t="s">
        <v>137</v>
      </c>
      <c r="J23" s="39">
        <v>22</v>
      </c>
      <c r="K23" s="42">
        <f t="shared" si="0"/>
        <v>2.5626250000000003E-2</v>
      </c>
      <c r="L23" s="78">
        <v>434.46899999999994</v>
      </c>
      <c r="M23" s="78">
        <v>392.7</v>
      </c>
    </row>
    <row r="24" spans="2:13" ht="15" thickBot="1">
      <c r="B24" s="13" t="s">
        <v>651</v>
      </c>
      <c r="C24" s="14">
        <v>1.2</v>
      </c>
      <c r="D24" s="15">
        <v>1.6</v>
      </c>
      <c r="E24" s="14">
        <v>12</v>
      </c>
      <c r="F24" s="15">
        <v>19.5</v>
      </c>
      <c r="G24" s="27" t="s">
        <v>136</v>
      </c>
      <c r="H24" s="28">
        <v>2900</v>
      </c>
      <c r="I24" s="38" t="s">
        <v>24</v>
      </c>
      <c r="J24" s="39">
        <v>23</v>
      </c>
      <c r="K24" s="42">
        <f t="shared" si="0"/>
        <v>2.5626250000000003E-2</v>
      </c>
      <c r="L24" s="78">
        <v>526.57500000000005</v>
      </c>
      <c r="M24" s="78">
        <v>466.95600000000007</v>
      </c>
    </row>
    <row r="25" spans="2:13" ht="15" thickBot="1">
      <c r="B25" s="13" t="s">
        <v>652</v>
      </c>
      <c r="C25" s="14">
        <v>1.8</v>
      </c>
      <c r="D25" s="15">
        <v>2.5</v>
      </c>
      <c r="E25" s="14">
        <v>12</v>
      </c>
      <c r="F25" s="15">
        <v>29.5</v>
      </c>
      <c r="G25" s="27" t="s">
        <v>136</v>
      </c>
      <c r="H25" s="28">
        <v>2900</v>
      </c>
      <c r="I25" s="38" t="s">
        <v>26</v>
      </c>
      <c r="J25" s="39">
        <v>27</v>
      </c>
      <c r="K25" s="42">
        <f>0.48*0.2*0.33</f>
        <v>3.168E-2</v>
      </c>
      <c r="L25" s="78">
        <v>595.11899999999991</v>
      </c>
      <c r="M25" s="78">
        <v>523.71899999999994</v>
      </c>
    </row>
    <row r="26" spans="2:13" ht="15" thickBot="1">
      <c r="B26" s="13" t="s">
        <v>653</v>
      </c>
      <c r="C26" s="14">
        <v>2.4</v>
      </c>
      <c r="D26" s="15">
        <v>3.3</v>
      </c>
      <c r="E26" s="14">
        <v>12</v>
      </c>
      <c r="F26" s="15">
        <v>39.5</v>
      </c>
      <c r="G26" s="27" t="s">
        <v>136</v>
      </c>
      <c r="H26" s="28">
        <v>2900</v>
      </c>
      <c r="I26" s="38" t="s">
        <v>28</v>
      </c>
      <c r="J26" s="39">
        <v>31</v>
      </c>
      <c r="K26" s="42">
        <f>0.51*0.2*0.33</f>
        <v>3.3660000000000002E-2</v>
      </c>
      <c r="L26" s="78"/>
      <c r="M26" s="78">
        <v>672.94500000000005</v>
      </c>
    </row>
    <row r="27" spans="2:13" ht="15" thickBot="1">
      <c r="B27" s="13" t="s">
        <v>654</v>
      </c>
      <c r="C27" s="14">
        <v>3</v>
      </c>
      <c r="D27" s="15">
        <v>4</v>
      </c>
      <c r="E27" s="14">
        <v>12</v>
      </c>
      <c r="F27" s="15">
        <v>50</v>
      </c>
      <c r="G27" s="27" t="s">
        <v>136</v>
      </c>
      <c r="H27" s="28">
        <v>2900</v>
      </c>
      <c r="I27" s="38" t="s">
        <v>30</v>
      </c>
      <c r="J27" s="39">
        <v>37</v>
      </c>
      <c r="K27" s="42">
        <f>0.575*0.215*0.33</f>
        <v>4.0796249999999999E-2</v>
      </c>
      <c r="L27" s="78"/>
      <c r="M27" s="78">
        <v>801.46500000000003</v>
      </c>
    </row>
    <row r="28" spans="2:13" ht="15" thickBot="1">
      <c r="B28" s="13" t="s">
        <v>655</v>
      </c>
      <c r="C28" s="14">
        <v>1.1000000000000001</v>
      </c>
      <c r="D28" s="15">
        <v>1.5</v>
      </c>
      <c r="E28" s="14">
        <v>16</v>
      </c>
      <c r="F28" s="15">
        <v>10.5</v>
      </c>
      <c r="G28" s="27" t="s">
        <v>160</v>
      </c>
      <c r="H28" s="28">
        <v>2900</v>
      </c>
      <c r="I28" s="38" t="s">
        <v>137</v>
      </c>
      <c r="J28" s="39">
        <v>19</v>
      </c>
      <c r="K28" s="42">
        <f>0.443*0.19*0.325</f>
        <v>2.7355250000000005E-2</v>
      </c>
      <c r="L28" s="78">
        <v>475.88100000000009</v>
      </c>
      <c r="M28" s="78">
        <v>434.46899999999994</v>
      </c>
    </row>
    <row r="29" spans="2:13" ht="15" thickBot="1">
      <c r="B29" s="13" t="s">
        <v>656</v>
      </c>
      <c r="C29" s="14">
        <v>2.2000000000000002</v>
      </c>
      <c r="D29" s="15">
        <v>3</v>
      </c>
      <c r="E29" s="14">
        <v>16</v>
      </c>
      <c r="F29" s="15">
        <v>21.7</v>
      </c>
      <c r="G29" s="27" t="s">
        <v>160</v>
      </c>
      <c r="H29" s="28">
        <v>2900</v>
      </c>
      <c r="I29" s="38" t="s">
        <v>24</v>
      </c>
      <c r="J29" s="39">
        <v>29</v>
      </c>
      <c r="K29" s="42">
        <f>0.475*0.2*0.33</f>
        <v>3.1350000000000003E-2</v>
      </c>
      <c r="L29" s="78">
        <v>606.9</v>
      </c>
      <c r="M29" s="78">
        <v>535.5</v>
      </c>
    </row>
    <row r="30" spans="2:13" ht="15" thickBot="1">
      <c r="B30" s="13" t="s">
        <v>657</v>
      </c>
      <c r="C30" s="14">
        <v>3</v>
      </c>
      <c r="D30" s="15">
        <v>4</v>
      </c>
      <c r="E30" s="14">
        <v>16</v>
      </c>
      <c r="F30" s="15">
        <v>34</v>
      </c>
      <c r="G30" s="27" t="s">
        <v>160</v>
      </c>
      <c r="H30" s="28">
        <v>2900</v>
      </c>
      <c r="I30" s="38" t="s">
        <v>26</v>
      </c>
      <c r="J30" s="39">
        <v>36</v>
      </c>
      <c r="K30" s="42">
        <f>0.581*0.215*0.33</f>
        <v>4.1221949999999993E-2</v>
      </c>
      <c r="L30" s="78"/>
      <c r="M30" s="78">
        <v>699.72</v>
      </c>
    </row>
    <row r="31" spans="2:13" ht="15" thickBot="1">
      <c r="B31" s="13" t="s">
        <v>658</v>
      </c>
      <c r="C31" s="14">
        <v>4</v>
      </c>
      <c r="D31" s="15">
        <v>5.5</v>
      </c>
      <c r="E31" s="14">
        <v>16</v>
      </c>
      <c r="F31" s="15">
        <v>45</v>
      </c>
      <c r="G31" s="27" t="s">
        <v>160</v>
      </c>
      <c r="H31" s="28">
        <v>2900</v>
      </c>
      <c r="I31" s="38" t="s">
        <v>28</v>
      </c>
      <c r="J31" s="39">
        <v>45</v>
      </c>
      <c r="K31" s="42">
        <f>0.641*0.25*0.33</f>
        <v>5.2882500000000006E-2</v>
      </c>
      <c r="L31" s="78"/>
      <c r="M31" s="78">
        <v>813.24600000000009</v>
      </c>
    </row>
    <row r="32" spans="2:13" ht="15" thickBot="1">
      <c r="B32" s="13" t="s">
        <v>659</v>
      </c>
      <c r="C32" s="14">
        <v>1.1000000000000001</v>
      </c>
      <c r="D32" s="15">
        <v>1.5</v>
      </c>
      <c r="E32" s="14">
        <v>20</v>
      </c>
      <c r="F32" s="15">
        <v>10</v>
      </c>
      <c r="G32" s="27" t="s">
        <v>160</v>
      </c>
      <c r="H32" s="28">
        <v>2900</v>
      </c>
      <c r="I32" s="38" t="s">
        <v>137</v>
      </c>
      <c r="J32" s="39">
        <v>19</v>
      </c>
      <c r="K32" s="42">
        <f>0.443*0.19*0.325</f>
        <v>2.7355250000000005E-2</v>
      </c>
      <c r="L32" s="78">
        <v>493.73100000000005</v>
      </c>
      <c r="M32" s="78">
        <v>452.31899999999996</v>
      </c>
    </row>
    <row r="33" spans="2:13" ht="15" thickBot="1">
      <c r="B33" s="13" t="s">
        <v>660</v>
      </c>
      <c r="C33" s="14">
        <v>2.2000000000000002</v>
      </c>
      <c r="D33" s="15">
        <v>3</v>
      </c>
      <c r="E33" s="14">
        <v>20</v>
      </c>
      <c r="F33" s="15">
        <v>22</v>
      </c>
      <c r="G33" s="27" t="s">
        <v>160</v>
      </c>
      <c r="H33" s="28">
        <v>2900</v>
      </c>
      <c r="I33" s="38" t="s">
        <v>24</v>
      </c>
      <c r="J33" s="39">
        <v>29</v>
      </c>
      <c r="K33" s="42">
        <f>0.475*0.2*0.33</f>
        <v>3.1350000000000003E-2</v>
      </c>
      <c r="L33" s="78">
        <v>621.89399999999989</v>
      </c>
      <c r="M33" s="78">
        <v>550.49399999999991</v>
      </c>
    </row>
    <row r="34" spans="2:13" ht="15" thickBot="1">
      <c r="B34" s="13" t="s">
        <v>661</v>
      </c>
      <c r="C34" s="14">
        <v>4</v>
      </c>
      <c r="D34" s="15">
        <v>5.5</v>
      </c>
      <c r="E34" s="14">
        <v>20</v>
      </c>
      <c r="F34" s="15">
        <v>34</v>
      </c>
      <c r="G34" s="27" t="s">
        <v>160</v>
      </c>
      <c r="H34" s="28">
        <v>2900</v>
      </c>
      <c r="I34" s="38" t="s">
        <v>26</v>
      </c>
      <c r="J34" s="39">
        <v>44</v>
      </c>
      <c r="K34" s="42">
        <f>0.596*0.25*0.33</f>
        <v>4.9169999999999998E-2</v>
      </c>
      <c r="L34" s="78"/>
      <c r="M34" s="78">
        <v>777.54600000000005</v>
      </c>
    </row>
    <row r="35" spans="2:13" ht="15" thickBot="1">
      <c r="B35" s="13" t="s">
        <v>662</v>
      </c>
      <c r="C35" s="14">
        <v>4.4000000000000004</v>
      </c>
      <c r="D35" s="15">
        <v>6</v>
      </c>
      <c r="E35" s="14">
        <v>20</v>
      </c>
      <c r="F35" s="15">
        <v>46.5</v>
      </c>
      <c r="G35" s="27" t="s">
        <v>160</v>
      </c>
      <c r="H35" s="28">
        <v>2900</v>
      </c>
      <c r="I35" s="38" t="s">
        <v>28</v>
      </c>
      <c r="J35" s="39">
        <v>48</v>
      </c>
      <c r="K35" s="42">
        <f>0.641*0.25*0.33</f>
        <v>5.2882500000000006E-2</v>
      </c>
      <c r="L35" s="78"/>
      <c r="M35" s="78">
        <v>870.3660000000001</v>
      </c>
    </row>
    <row r="36" spans="2:13" ht="23.25" thickBot="1">
      <c r="B36" s="8"/>
      <c r="C36" s="8"/>
      <c r="D36" s="8"/>
      <c r="E36" s="8"/>
      <c r="F36" s="8"/>
      <c r="G36" s="8"/>
      <c r="H36" s="1"/>
      <c r="I36" s="8"/>
      <c r="J36" s="1"/>
      <c r="K36" s="1"/>
      <c r="L36" s="8"/>
      <c r="M36" s="8"/>
    </row>
    <row r="37" spans="2:13" ht="15">
      <c r="B37" s="44" t="s">
        <v>190</v>
      </c>
      <c r="C37" s="45" t="s">
        <v>527</v>
      </c>
      <c r="D37" s="46"/>
      <c r="E37" s="51"/>
      <c r="F37" s="51"/>
      <c r="G37" s="51"/>
      <c r="H37" s="51"/>
      <c r="I37" s="51"/>
      <c r="J37" s="51"/>
      <c r="K37" s="51"/>
      <c r="L37" s="51"/>
      <c r="M37" s="51"/>
    </row>
    <row r="38" spans="2:13" ht="15">
      <c r="B38" s="47" t="s">
        <v>192</v>
      </c>
      <c r="C38" s="48" t="s">
        <v>191</v>
      </c>
      <c r="D38" s="49"/>
      <c r="E38" s="52"/>
      <c r="F38" s="52"/>
      <c r="G38" s="52"/>
      <c r="H38" s="52"/>
      <c r="I38" s="52"/>
      <c r="J38" s="52"/>
      <c r="K38" s="52"/>
      <c r="L38" s="52"/>
      <c r="M38" s="52"/>
    </row>
    <row r="39" spans="2:13" ht="15">
      <c r="B39" s="47" t="s">
        <v>193</v>
      </c>
      <c r="C39" s="48" t="s">
        <v>563</v>
      </c>
      <c r="D39" s="49"/>
      <c r="E39" s="52"/>
      <c r="F39" s="52"/>
      <c r="G39" s="52"/>
      <c r="H39" s="52"/>
      <c r="I39" s="52"/>
      <c r="J39" s="52"/>
      <c r="K39" s="52"/>
      <c r="L39" s="52"/>
      <c r="M39" s="52"/>
    </row>
    <row r="40" spans="2:13" ht="15">
      <c r="B40" s="47" t="s">
        <v>194</v>
      </c>
      <c r="C40" s="48" t="s">
        <v>195</v>
      </c>
      <c r="D40" s="49"/>
      <c r="E40" s="52"/>
      <c r="F40" s="52"/>
      <c r="G40" s="52"/>
      <c r="H40" s="52"/>
      <c r="I40" s="52"/>
      <c r="J40" s="52"/>
      <c r="K40" s="52"/>
      <c r="L40" s="52"/>
      <c r="M40" s="52"/>
    </row>
    <row r="41" spans="2:13" ht="15">
      <c r="B41" s="60" t="s">
        <v>529</v>
      </c>
      <c r="C41" s="56" t="s">
        <v>530</v>
      </c>
      <c r="D41" s="57"/>
      <c r="E41" s="58"/>
      <c r="F41" s="58"/>
      <c r="G41" s="58"/>
      <c r="H41" s="58"/>
      <c r="I41" s="58"/>
      <c r="J41" s="58"/>
      <c r="K41" s="58"/>
      <c r="L41" s="58"/>
      <c r="M41" s="58"/>
    </row>
  </sheetData>
  <mergeCells count="5">
    <mergeCell ref="B5:B6"/>
    <mergeCell ref="C5:D6"/>
    <mergeCell ref="E5:F5"/>
    <mergeCell ref="L5:M5"/>
    <mergeCell ref="L6:M6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1">
    <tabColor theme="9" tint="0.59999389629810485"/>
  </sheetPr>
  <dimension ref="D6:P28"/>
  <sheetViews>
    <sheetView workbookViewId="0"/>
  </sheetViews>
  <sheetFormatPr defaultRowHeight="14.25"/>
  <cols>
    <col min="4" max="4" width="23" customWidth="1"/>
    <col min="15" max="15" width="11.875" customWidth="1"/>
    <col min="16" max="16" width="12.25" customWidth="1"/>
  </cols>
  <sheetData>
    <row r="6" spans="4:16" ht="26.25" thickBot="1">
      <c r="D6" s="113" t="s">
        <v>2595</v>
      </c>
      <c r="E6" s="62"/>
      <c r="F6" s="62"/>
      <c r="G6" s="62"/>
      <c r="H6" s="62"/>
      <c r="I6" s="62"/>
      <c r="J6" s="62"/>
      <c r="K6" s="17"/>
      <c r="L6" s="62"/>
      <c r="M6" s="29"/>
      <c r="N6" s="29"/>
      <c r="O6" s="62"/>
      <c r="P6" s="62"/>
    </row>
    <row r="7" spans="4:16">
      <c r="D7" s="267" t="s">
        <v>0</v>
      </c>
      <c r="E7" s="255" t="s">
        <v>1</v>
      </c>
      <c r="F7" s="267"/>
      <c r="G7" s="257" t="s">
        <v>2</v>
      </c>
      <c r="H7" s="258"/>
      <c r="I7" s="258"/>
      <c r="J7" s="18" t="s">
        <v>3</v>
      </c>
      <c r="K7" s="19" t="s">
        <v>4</v>
      </c>
      <c r="L7" s="30" t="s">
        <v>5</v>
      </c>
      <c r="M7" s="31" t="s">
        <v>6</v>
      </c>
      <c r="N7" s="31" t="s">
        <v>7</v>
      </c>
      <c r="O7" s="259" t="s">
        <v>8</v>
      </c>
      <c r="P7" s="255"/>
    </row>
    <row r="8" spans="4:16" ht="15">
      <c r="D8" s="268"/>
      <c r="E8" s="256"/>
      <c r="F8" s="268"/>
      <c r="G8" s="20" t="s">
        <v>9</v>
      </c>
      <c r="H8" s="33" t="s">
        <v>10</v>
      </c>
      <c r="I8" s="10" t="s">
        <v>854</v>
      </c>
      <c r="J8" s="21"/>
      <c r="K8" s="22"/>
      <c r="L8" s="32"/>
      <c r="M8" s="33"/>
      <c r="N8" s="33"/>
      <c r="O8" s="260" t="s">
        <v>11</v>
      </c>
      <c r="P8" s="261"/>
    </row>
    <row r="9" spans="4:16" ht="15" thickBot="1">
      <c r="D9" s="11"/>
      <c r="E9" s="12" t="s">
        <v>12</v>
      </c>
      <c r="F9" s="11" t="s">
        <v>13</v>
      </c>
      <c r="G9" s="23" t="s">
        <v>14</v>
      </c>
      <c r="H9" s="133" t="s">
        <v>15</v>
      </c>
      <c r="I9" s="134" t="s">
        <v>15</v>
      </c>
      <c r="J9" s="25" t="s">
        <v>16</v>
      </c>
      <c r="K9" s="26" t="s">
        <v>17</v>
      </c>
      <c r="L9" s="34"/>
      <c r="M9" s="35" t="s">
        <v>18</v>
      </c>
      <c r="N9" s="36" t="s">
        <v>19</v>
      </c>
      <c r="O9" s="158" t="s">
        <v>2579</v>
      </c>
      <c r="P9" s="159" t="s">
        <v>2580</v>
      </c>
    </row>
    <row r="10" spans="4:16" ht="15" thickBot="1">
      <c r="D10" s="13" t="s">
        <v>2581</v>
      </c>
      <c r="E10" s="14">
        <v>0.37</v>
      </c>
      <c r="F10" s="15">
        <v>0.5</v>
      </c>
      <c r="G10" s="14">
        <v>2</v>
      </c>
      <c r="H10" s="28">
        <v>20</v>
      </c>
      <c r="I10" s="136">
        <v>22</v>
      </c>
      <c r="J10" s="27" t="s">
        <v>23</v>
      </c>
      <c r="K10" s="28">
        <v>2900</v>
      </c>
      <c r="L10" s="38" t="s">
        <v>566</v>
      </c>
      <c r="M10" s="39">
        <v>10</v>
      </c>
      <c r="N10" s="40">
        <f>0.417*0.23*0.265</f>
        <v>2.5416149999999998E-2</v>
      </c>
      <c r="O10" s="78">
        <v>401.625</v>
      </c>
      <c r="P10" s="78">
        <v>409.47899999999998</v>
      </c>
    </row>
    <row r="11" spans="4:16" ht="15" thickBot="1">
      <c r="D11" s="13" t="s">
        <v>2582</v>
      </c>
      <c r="E11" s="14">
        <v>0.55000000000000004</v>
      </c>
      <c r="F11" s="15">
        <v>0.75</v>
      </c>
      <c r="G11" s="14">
        <v>2</v>
      </c>
      <c r="H11" s="28">
        <v>31</v>
      </c>
      <c r="I11" s="136">
        <v>34</v>
      </c>
      <c r="J11" s="27" t="s">
        <v>23</v>
      </c>
      <c r="K11" s="28">
        <v>2900</v>
      </c>
      <c r="L11" s="38" t="s">
        <v>566</v>
      </c>
      <c r="M11" s="39">
        <v>11</v>
      </c>
      <c r="N11" s="42">
        <f>0.458*0.23*0.265</f>
        <v>2.7915100000000002E-2</v>
      </c>
      <c r="O11" s="78">
        <v>430.185</v>
      </c>
      <c r="P11" s="78">
        <v>429.11399999999998</v>
      </c>
    </row>
    <row r="12" spans="4:16" ht="15" thickBot="1">
      <c r="D12" s="13" t="s">
        <v>2583</v>
      </c>
      <c r="E12" s="14">
        <v>0.37</v>
      </c>
      <c r="F12" s="15">
        <v>0.5</v>
      </c>
      <c r="G12" s="14">
        <v>4</v>
      </c>
      <c r="H12" s="28">
        <v>16</v>
      </c>
      <c r="I12" s="136">
        <v>22</v>
      </c>
      <c r="J12" s="27" t="s">
        <v>538</v>
      </c>
      <c r="K12" s="28">
        <v>2900</v>
      </c>
      <c r="L12" s="38" t="s">
        <v>566</v>
      </c>
      <c r="M12" s="39">
        <v>10</v>
      </c>
      <c r="N12" s="42">
        <f>0.417*0.23*0.265</f>
        <v>2.5416149999999998E-2</v>
      </c>
      <c r="O12" s="78">
        <v>402.339</v>
      </c>
      <c r="P12" s="78">
        <v>410.55</v>
      </c>
    </row>
    <row r="13" spans="4:16" ht="15" thickBot="1">
      <c r="D13" s="13" t="s">
        <v>2584</v>
      </c>
      <c r="E13" s="14">
        <v>0.55000000000000004</v>
      </c>
      <c r="F13" s="15">
        <v>0.75</v>
      </c>
      <c r="G13" s="14">
        <v>4</v>
      </c>
      <c r="H13" s="28">
        <v>26</v>
      </c>
      <c r="I13" s="136">
        <v>34</v>
      </c>
      <c r="J13" s="27" t="s">
        <v>538</v>
      </c>
      <c r="K13" s="28">
        <v>2900</v>
      </c>
      <c r="L13" s="38" t="s">
        <v>566</v>
      </c>
      <c r="M13" s="39">
        <v>11</v>
      </c>
      <c r="N13" s="42">
        <f>0.458*0.23*0.265</f>
        <v>2.7915100000000002E-2</v>
      </c>
      <c r="O13" s="78">
        <v>430.899</v>
      </c>
      <c r="P13" s="78">
        <v>429.471</v>
      </c>
    </row>
    <row r="14" spans="4:16" ht="15" thickBot="1">
      <c r="D14" s="13" t="s">
        <v>2585</v>
      </c>
      <c r="E14" s="14">
        <v>0.75</v>
      </c>
      <c r="F14" s="15">
        <v>1</v>
      </c>
      <c r="G14" s="14">
        <v>4</v>
      </c>
      <c r="H14" s="28">
        <v>36</v>
      </c>
      <c r="I14" s="136">
        <v>45</v>
      </c>
      <c r="J14" s="27" t="s">
        <v>538</v>
      </c>
      <c r="K14" s="28">
        <v>2900</v>
      </c>
      <c r="L14" s="38" t="s">
        <v>566</v>
      </c>
      <c r="M14" s="39">
        <v>15</v>
      </c>
      <c r="N14" s="42">
        <f>0.472*0.23*0.265</f>
        <v>2.8768400000000003E-2</v>
      </c>
      <c r="O14" s="78">
        <v>529.43100000000004</v>
      </c>
      <c r="P14" s="78">
        <v>499.08600000000007</v>
      </c>
    </row>
    <row r="15" spans="4:16" ht="15" thickBot="1">
      <c r="D15" s="13" t="s">
        <v>2586</v>
      </c>
      <c r="E15" s="14">
        <v>1.1000000000000001</v>
      </c>
      <c r="F15" s="15">
        <v>1.5</v>
      </c>
      <c r="G15" s="14">
        <v>4</v>
      </c>
      <c r="H15" s="28">
        <v>47</v>
      </c>
      <c r="I15" s="136">
        <v>56</v>
      </c>
      <c r="J15" s="27" t="s">
        <v>538</v>
      </c>
      <c r="K15" s="28">
        <v>2900</v>
      </c>
      <c r="L15" s="38" t="s">
        <v>566</v>
      </c>
      <c r="M15" s="39">
        <v>16</v>
      </c>
      <c r="N15" s="42">
        <f>0.496*0.23*0.277</f>
        <v>3.1600160000000002E-2</v>
      </c>
      <c r="O15" s="78">
        <v>584.40899999999999</v>
      </c>
      <c r="P15" s="78">
        <v>567.63</v>
      </c>
    </row>
    <row r="16" spans="4:16" ht="15" thickBot="1">
      <c r="D16" s="13" t="s">
        <v>2587</v>
      </c>
      <c r="E16" s="14">
        <v>1.5</v>
      </c>
      <c r="F16" s="15">
        <v>2</v>
      </c>
      <c r="G16" s="14">
        <v>4</v>
      </c>
      <c r="H16" s="28">
        <v>58</v>
      </c>
      <c r="I16" s="136">
        <v>68.5</v>
      </c>
      <c r="J16" s="27" t="s">
        <v>538</v>
      </c>
      <c r="K16" s="28">
        <v>2900</v>
      </c>
      <c r="L16" s="38" t="s">
        <v>566</v>
      </c>
      <c r="M16" s="39">
        <v>17</v>
      </c>
      <c r="N16" s="42">
        <f>0.52*0.23*0.277</f>
        <v>3.3129200000000004E-2</v>
      </c>
      <c r="O16" s="78">
        <v>657.95100000000014</v>
      </c>
      <c r="P16" s="78">
        <v>647.2410000000001</v>
      </c>
    </row>
    <row r="17" spans="4:16" ht="15" thickBot="1">
      <c r="D17" s="13" t="s">
        <v>2588</v>
      </c>
      <c r="E17" s="14">
        <v>1.1000000000000001</v>
      </c>
      <c r="F17" s="15">
        <v>1.5</v>
      </c>
      <c r="G17" s="14">
        <v>8</v>
      </c>
      <c r="H17" s="28">
        <v>28</v>
      </c>
      <c r="I17" s="136">
        <v>38</v>
      </c>
      <c r="J17" s="27" t="s">
        <v>572</v>
      </c>
      <c r="K17" s="28">
        <v>2900</v>
      </c>
      <c r="L17" s="38" t="s">
        <v>566</v>
      </c>
      <c r="M17" s="39">
        <v>15</v>
      </c>
      <c r="N17" s="42">
        <f>0.46*0.23*0.277</f>
        <v>2.9306600000000006E-2</v>
      </c>
      <c r="O17" s="78">
        <v>520.50600000000009</v>
      </c>
      <c r="P17" s="78">
        <v>504.44100000000009</v>
      </c>
    </row>
    <row r="18" spans="4:16" ht="15" thickBot="1">
      <c r="D18" s="13" t="s">
        <v>2589</v>
      </c>
      <c r="E18" s="14">
        <v>1.5</v>
      </c>
      <c r="F18" s="15">
        <v>2</v>
      </c>
      <c r="G18" s="14">
        <v>8</v>
      </c>
      <c r="H18" s="28">
        <v>38</v>
      </c>
      <c r="I18" s="136">
        <v>50</v>
      </c>
      <c r="J18" s="27" t="s">
        <v>572</v>
      </c>
      <c r="K18" s="28">
        <v>2900</v>
      </c>
      <c r="L18" s="38" t="s">
        <v>566</v>
      </c>
      <c r="M18" s="39">
        <v>20</v>
      </c>
      <c r="N18" s="42">
        <f>0.49*0.23*0.277</f>
        <v>3.1217900000000007E-2</v>
      </c>
      <c r="O18" s="78">
        <v>605.82899999999995</v>
      </c>
      <c r="P18" s="78">
        <v>595.47600000000011</v>
      </c>
    </row>
    <row r="19" spans="4:16" ht="15" thickBot="1">
      <c r="D19" s="13" t="s">
        <v>2590</v>
      </c>
      <c r="E19" s="14">
        <v>1.85</v>
      </c>
      <c r="F19" s="15">
        <v>2.5</v>
      </c>
      <c r="G19" s="14">
        <v>8</v>
      </c>
      <c r="H19" s="28">
        <v>46.5</v>
      </c>
      <c r="I19" s="136">
        <v>63.6</v>
      </c>
      <c r="J19" s="27" t="s">
        <v>572</v>
      </c>
      <c r="K19" s="28">
        <v>2900</v>
      </c>
      <c r="L19" s="38" t="s">
        <v>566</v>
      </c>
      <c r="M19" s="39">
        <v>23</v>
      </c>
      <c r="N19" s="42">
        <f>0.564*0.23*0.28</f>
        <v>3.6321600000000002E-2</v>
      </c>
      <c r="O19" s="78"/>
      <c r="P19" s="78">
        <v>740.77499999999998</v>
      </c>
    </row>
    <row r="20" spans="4:16" ht="15" thickBot="1">
      <c r="D20" s="13" t="s">
        <v>2591</v>
      </c>
      <c r="E20" s="14">
        <v>1.5</v>
      </c>
      <c r="F20" s="15">
        <v>2</v>
      </c>
      <c r="G20" s="14">
        <v>16</v>
      </c>
      <c r="H20" s="28">
        <v>17</v>
      </c>
      <c r="I20" s="136">
        <v>24</v>
      </c>
      <c r="J20" s="27" t="s">
        <v>2592</v>
      </c>
      <c r="K20" s="28">
        <v>2900</v>
      </c>
      <c r="L20" s="38" t="s">
        <v>566</v>
      </c>
      <c r="M20" s="39">
        <v>19</v>
      </c>
      <c r="N20" s="42">
        <f>0.48*0.23*0.277</f>
        <v>3.0580800000000002E-2</v>
      </c>
      <c r="O20" s="78">
        <v>564.77399999999989</v>
      </c>
      <c r="P20" s="78">
        <v>554.06399999999996</v>
      </c>
    </row>
    <row r="21" spans="4:16" ht="15" thickBot="1">
      <c r="D21" s="13" t="s">
        <v>2593</v>
      </c>
      <c r="E21" s="14">
        <v>1.85</v>
      </c>
      <c r="F21" s="15">
        <v>2.5</v>
      </c>
      <c r="G21" s="14">
        <v>16</v>
      </c>
      <c r="H21" s="28">
        <v>26</v>
      </c>
      <c r="I21" s="136">
        <v>37</v>
      </c>
      <c r="J21" s="27" t="s">
        <v>2592</v>
      </c>
      <c r="K21" s="28">
        <v>2900</v>
      </c>
      <c r="L21" s="38" t="s">
        <v>566</v>
      </c>
      <c r="M21" s="39">
        <v>23</v>
      </c>
      <c r="N21" s="42">
        <f>0.524*0.23*0.28</f>
        <v>3.3745600000000008E-2</v>
      </c>
      <c r="O21" s="78"/>
      <c r="P21" s="78">
        <v>674.01600000000008</v>
      </c>
    </row>
    <row r="22" spans="4:16" ht="15" thickBot="1">
      <c r="D22" s="13" t="s">
        <v>2594</v>
      </c>
      <c r="E22" s="14">
        <v>2.2000000000000002</v>
      </c>
      <c r="F22" s="15">
        <v>3</v>
      </c>
      <c r="G22" s="14">
        <v>16</v>
      </c>
      <c r="H22" s="28">
        <v>34</v>
      </c>
      <c r="I22" s="136">
        <v>49.5</v>
      </c>
      <c r="J22" s="27" t="s">
        <v>2592</v>
      </c>
      <c r="K22" s="28">
        <v>2900</v>
      </c>
      <c r="L22" s="38" t="s">
        <v>566</v>
      </c>
      <c r="M22" s="39">
        <v>24</v>
      </c>
      <c r="N22" s="42">
        <f>0.569*0.23*0.28</f>
        <v>3.6643599999999998E-2</v>
      </c>
      <c r="O22" s="78"/>
      <c r="P22" s="78">
        <v>759.69600000000003</v>
      </c>
    </row>
    <row r="23" spans="4:16" ht="23.25" thickBot="1">
      <c r="D23" s="63"/>
      <c r="E23" s="63"/>
      <c r="F23" s="63"/>
      <c r="G23" s="63"/>
      <c r="H23" s="63"/>
      <c r="I23" s="63"/>
      <c r="J23" s="63"/>
      <c r="K23" s="1"/>
      <c r="L23" s="63"/>
      <c r="M23" s="1"/>
      <c r="N23" s="1"/>
      <c r="O23" s="63"/>
      <c r="P23" s="63"/>
    </row>
    <row r="24" spans="4:16" ht="15">
      <c r="D24" s="44" t="s">
        <v>190</v>
      </c>
      <c r="E24" s="45" t="s">
        <v>191</v>
      </c>
      <c r="F24" s="46"/>
      <c r="G24" s="51"/>
      <c r="H24" s="51"/>
      <c r="I24" s="51"/>
      <c r="J24" s="51"/>
      <c r="K24" s="51"/>
      <c r="L24" s="51"/>
      <c r="M24" s="51"/>
      <c r="N24" s="51"/>
      <c r="O24" s="51"/>
      <c r="P24" s="51"/>
    </row>
    <row r="25" spans="4:16" ht="15">
      <c r="D25" s="47" t="s">
        <v>192</v>
      </c>
      <c r="E25" s="48" t="s">
        <v>191</v>
      </c>
      <c r="F25" s="49"/>
      <c r="G25" s="52"/>
      <c r="H25" s="52"/>
      <c r="I25" s="52"/>
      <c r="J25" s="52"/>
      <c r="K25" s="52"/>
      <c r="L25" s="52"/>
      <c r="M25" s="52"/>
      <c r="N25" s="52"/>
      <c r="O25" s="52"/>
      <c r="P25" s="52"/>
    </row>
    <row r="26" spans="4:16" ht="48.75" customHeight="1">
      <c r="D26" s="47" t="s">
        <v>193</v>
      </c>
      <c r="E26" s="271" t="s">
        <v>1274</v>
      </c>
      <c r="F26" s="272"/>
      <c r="G26" s="272"/>
      <c r="H26" s="272"/>
      <c r="I26" s="272"/>
      <c r="J26" s="272"/>
      <c r="K26" s="272"/>
      <c r="L26" s="272"/>
      <c r="M26" s="272"/>
      <c r="N26" s="272"/>
      <c r="O26" s="272"/>
      <c r="P26" s="272"/>
    </row>
    <row r="27" spans="4:16" ht="15">
      <c r="D27" s="47" t="s">
        <v>194</v>
      </c>
      <c r="E27" s="48" t="s">
        <v>195</v>
      </c>
      <c r="F27" s="49"/>
      <c r="G27" s="52"/>
      <c r="H27" s="52"/>
      <c r="I27" s="52"/>
      <c r="J27" s="52"/>
      <c r="K27" s="52"/>
      <c r="L27" s="52"/>
      <c r="M27" s="52"/>
      <c r="N27" s="52"/>
      <c r="O27" s="52"/>
      <c r="P27" s="52"/>
    </row>
    <row r="28" spans="4:16" ht="15">
      <c r="D28" s="60" t="s">
        <v>529</v>
      </c>
      <c r="E28" s="56" t="s">
        <v>530</v>
      </c>
      <c r="F28" s="57"/>
      <c r="G28" s="58"/>
      <c r="H28" s="58"/>
      <c r="I28" s="58"/>
      <c r="J28" s="58"/>
      <c r="K28" s="58"/>
      <c r="L28" s="58"/>
      <c r="M28" s="58"/>
      <c r="N28" s="58"/>
      <c r="O28" s="58"/>
      <c r="P28" s="58"/>
    </row>
  </sheetData>
  <mergeCells count="6">
    <mergeCell ref="E26:P26"/>
    <mergeCell ref="D7:D8"/>
    <mergeCell ref="E7:F8"/>
    <mergeCell ref="G7:I7"/>
    <mergeCell ref="O7:P7"/>
    <mergeCell ref="O8:P8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2">
    <tabColor theme="4" tint="0.39997558519241921"/>
  </sheetPr>
  <dimension ref="B3:T65"/>
  <sheetViews>
    <sheetView workbookViewId="0">
      <selection activeCell="A2" sqref="A2"/>
    </sheetView>
  </sheetViews>
  <sheetFormatPr defaultRowHeight="14.25"/>
  <cols>
    <col min="2" max="2" width="27.5" customWidth="1"/>
    <col min="3" max="3" width="16.125" customWidth="1"/>
    <col min="14" max="14" width="9.5" customWidth="1"/>
    <col min="16" max="16" width="13.125" customWidth="1"/>
    <col min="17" max="17" width="13.5" customWidth="1"/>
  </cols>
  <sheetData>
    <row r="3" spans="2:20" ht="25.5">
      <c r="B3" s="4"/>
      <c r="C3" s="113" t="s">
        <v>1395</v>
      </c>
      <c r="D3" s="62"/>
      <c r="E3" s="62"/>
      <c r="F3" s="62"/>
      <c r="G3" s="62"/>
      <c r="H3" s="62"/>
      <c r="I3" s="17"/>
      <c r="J3" s="62"/>
      <c r="K3" s="29"/>
      <c r="L3" s="29"/>
      <c r="M3" s="62"/>
      <c r="N3" s="62"/>
      <c r="O3" s="1"/>
      <c r="P3" s="1"/>
      <c r="Q3" s="1"/>
      <c r="R3" s="1"/>
    </row>
    <row r="4" spans="2:20" ht="23.25" thickBot="1">
      <c r="B4" s="7"/>
      <c r="C4" s="63"/>
      <c r="D4" s="63"/>
      <c r="E4" s="63"/>
      <c r="F4" s="63"/>
      <c r="G4" s="63"/>
      <c r="H4" s="63"/>
      <c r="I4" s="1"/>
      <c r="J4" s="63"/>
      <c r="K4" s="1"/>
      <c r="L4" s="1"/>
      <c r="M4" s="63"/>
      <c r="N4" s="63"/>
      <c r="O4" s="1"/>
      <c r="P4" s="1"/>
      <c r="Q4" s="1"/>
      <c r="R4" s="1"/>
    </row>
    <row r="5" spans="2:20" ht="15">
      <c r="B5" s="3"/>
      <c r="C5" s="253" t="s">
        <v>0</v>
      </c>
      <c r="D5" s="255" t="s">
        <v>1</v>
      </c>
      <c r="E5" s="253"/>
      <c r="F5" s="265" t="s">
        <v>2</v>
      </c>
      <c r="G5" s="265"/>
      <c r="H5" s="18" t="s">
        <v>3</v>
      </c>
      <c r="I5" s="19" t="s">
        <v>4</v>
      </c>
      <c r="J5" s="30" t="s">
        <v>5</v>
      </c>
      <c r="K5" s="31" t="s">
        <v>6</v>
      </c>
      <c r="L5" s="31" t="s">
        <v>7</v>
      </c>
      <c r="M5" s="259" t="s">
        <v>8</v>
      </c>
      <c r="N5" s="255"/>
      <c r="O5" s="2"/>
      <c r="P5" s="2"/>
      <c r="Q5" s="2"/>
      <c r="R5" s="2"/>
    </row>
    <row r="6" spans="2:20" ht="15">
      <c r="B6" s="9"/>
      <c r="C6" s="254"/>
      <c r="D6" s="256"/>
      <c r="E6" s="254"/>
      <c r="F6" s="20" t="s">
        <v>9</v>
      </c>
      <c r="G6" s="10" t="s">
        <v>10</v>
      </c>
      <c r="H6" s="21"/>
      <c r="I6" s="22"/>
      <c r="J6" s="32"/>
      <c r="K6" s="33"/>
      <c r="L6" s="33"/>
      <c r="M6" s="260" t="s">
        <v>11</v>
      </c>
      <c r="N6" s="261"/>
      <c r="O6" s="3"/>
      <c r="P6" s="3"/>
      <c r="Q6" s="3"/>
      <c r="R6" s="3"/>
    </row>
    <row r="7" spans="2:20" ht="15.75" thickBot="1">
      <c r="B7" s="3"/>
      <c r="C7" s="11"/>
      <c r="D7" s="12" t="s">
        <v>12</v>
      </c>
      <c r="E7" s="11" t="s">
        <v>13</v>
      </c>
      <c r="F7" s="23" t="s">
        <v>14</v>
      </c>
      <c r="G7" s="24" t="s">
        <v>15</v>
      </c>
      <c r="H7" s="25" t="s">
        <v>16</v>
      </c>
      <c r="I7" s="26" t="s">
        <v>17</v>
      </c>
      <c r="J7" s="34"/>
      <c r="K7" s="35" t="s">
        <v>18</v>
      </c>
      <c r="L7" s="36" t="s">
        <v>19</v>
      </c>
      <c r="M7" s="37" t="s">
        <v>486</v>
      </c>
      <c r="N7" s="43" t="s">
        <v>487</v>
      </c>
      <c r="O7" s="2"/>
      <c r="P7" s="2"/>
      <c r="Q7" s="2"/>
      <c r="R7" s="2"/>
    </row>
    <row r="8" spans="2:20" ht="15.75" thickBot="1">
      <c r="B8" s="2"/>
      <c r="C8" s="13" t="s">
        <v>1396</v>
      </c>
      <c r="D8" s="14">
        <v>0.37</v>
      </c>
      <c r="E8" s="15">
        <v>0.5</v>
      </c>
      <c r="F8" s="14">
        <v>4.8</v>
      </c>
      <c r="G8" s="15">
        <v>6.5</v>
      </c>
      <c r="H8" s="27" t="s">
        <v>538</v>
      </c>
      <c r="I8" s="28">
        <v>2900</v>
      </c>
      <c r="J8" s="38" t="s">
        <v>566</v>
      </c>
      <c r="K8" s="39">
        <v>7</v>
      </c>
      <c r="L8" s="42">
        <f>0.318*0.191*0.228</f>
        <v>1.3848264000000001E-2</v>
      </c>
      <c r="M8" s="184">
        <v>218.84099999999998</v>
      </c>
      <c r="N8" s="184">
        <v>213.48599999999999</v>
      </c>
      <c r="O8" s="2"/>
      <c r="P8" s="114"/>
      <c r="Q8" s="114"/>
      <c r="R8" s="114"/>
      <c r="S8" s="115"/>
      <c r="T8" s="115"/>
    </row>
    <row r="9" spans="2:20" ht="15.75" thickBot="1">
      <c r="B9" s="2"/>
      <c r="C9" s="13" t="s">
        <v>1397</v>
      </c>
      <c r="D9" s="14">
        <v>0.75</v>
      </c>
      <c r="E9" s="15">
        <v>1</v>
      </c>
      <c r="F9" s="14">
        <v>12</v>
      </c>
      <c r="G9" s="15">
        <v>8.1999999999999993</v>
      </c>
      <c r="H9" s="27" t="s">
        <v>136</v>
      </c>
      <c r="I9" s="28">
        <v>2900</v>
      </c>
      <c r="J9" s="38" t="s">
        <v>566</v>
      </c>
      <c r="K9" s="39">
        <v>10</v>
      </c>
      <c r="L9" s="42">
        <f>0.355*0.192*0.274</f>
        <v>1.8675840000000003E-2</v>
      </c>
      <c r="M9" s="184">
        <v>303.45</v>
      </c>
      <c r="N9" s="184">
        <v>305.94900000000001</v>
      </c>
      <c r="O9" s="2"/>
      <c r="P9" s="114"/>
      <c r="Q9" s="114"/>
      <c r="R9" s="114"/>
      <c r="S9" s="115"/>
      <c r="T9" s="115"/>
    </row>
    <row r="10" spans="2:20" ht="15.75" thickBot="1">
      <c r="B10" s="2"/>
      <c r="C10" s="13" t="s">
        <v>1398</v>
      </c>
      <c r="D10" s="14">
        <v>0.9</v>
      </c>
      <c r="E10" s="15">
        <v>1.2</v>
      </c>
      <c r="F10" s="14">
        <v>12</v>
      </c>
      <c r="G10" s="15">
        <v>11</v>
      </c>
      <c r="H10" s="27" t="s">
        <v>136</v>
      </c>
      <c r="I10" s="28">
        <v>2900</v>
      </c>
      <c r="J10" s="38" t="s">
        <v>566</v>
      </c>
      <c r="K10" s="39">
        <v>11</v>
      </c>
      <c r="L10" s="42">
        <f>0.355*0.192*0.274</f>
        <v>1.8675840000000003E-2</v>
      </c>
      <c r="M10" s="184">
        <v>324.15600000000001</v>
      </c>
      <c r="N10" s="184">
        <v>320.58600000000001</v>
      </c>
      <c r="O10" s="2"/>
      <c r="P10" s="114"/>
      <c r="Q10" s="114"/>
      <c r="R10" s="114"/>
      <c r="S10" s="115"/>
      <c r="T10" s="115"/>
    </row>
    <row r="11" spans="2:20" ht="15.75" thickBot="1">
      <c r="B11" s="2"/>
      <c r="C11" s="13" t="s">
        <v>1399</v>
      </c>
      <c r="D11" s="14">
        <v>1.1000000000000001</v>
      </c>
      <c r="E11" s="15">
        <v>1.5</v>
      </c>
      <c r="F11" s="14">
        <v>18</v>
      </c>
      <c r="G11" s="15">
        <v>8.5</v>
      </c>
      <c r="H11" s="27" t="s">
        <v>160</v>
      </c>
      <c r="I11" s="28">
        <v>2900</v>
      </c>
      <c r="J11" s="38" t="s">
        <v>566</v>
      </c>
      <c r="K11" s="39">
        <v>16</v>
      </c>
      <c r="L11" s="42">
        <f>0.398*0.213*0.298</f>
        <v>2.5262652E-2</v>
      </c>
      <c r="M11" s="184">
        <v>484.8060000000001</v>
      </c>
      <c r="N11" s="184">
        <v>445.536</v>
      </c>
      <c r="O11" s="2"/>
      <c r="P11" s="114"/>
      <c r="Q11" s="114"/>
      <c r="R11" s="114"/>
      <c r="S11" s="115"/>
      <c r="T11" s="115"/>
    </row>
    <row r="12" spans="2:20" ht="15.75" thickBot="1">
      <c r="B12" s="2"/>
      <c r="C12" s="13" t="s">
        <v>1400</v>
      </c>
      <c r="D12" s="14">
        <v>1.5</v>
      </c>
      <c r="E12" s="15">
        <v>2</v>
      </c>
      <c r="F12" s="14">
        <v>18</v>
      </c>
      <c r="G12" s="15">
        <v>11.2</v>
      </c>
      <c r="H12" s="27" t="s">
        <v>160</v>
      </c>
      <c r="I12" s="28">
        <v>2900</v>
      </c>
      <c r="J12" s="38" t="s">
        <v>566</v>
      </c>
      <c r="K12" s="39">
        <v>18</v>
      </c>
      <c r="L12" s="42">
        <f>0.398*0.213*0.298</f>
        <v>2.5262652E-2</v>
      </c>
      <c r="M12" s="184">
        <v>526.57500000000005</v>
      </c>
      <c r="N12" s="184">
        <v>472.31100000000009</v>
      </c>
      <c r="O12" s="2"/>
      <c r="P12" s="114"/>
      <c r="Q12" s="114"/>
      <c r="R12" s="114"/>
      <c r="S12" s="115"/>
      <c r="T12" s="115"/>
    </row>
    <row r="13" spans="2:20" ht="15.75" thickBot="1">
      <c r="B13" s="2"/>
      <c r="C13" s="13" t="s">
        <v>1401</v>
      </c>
      <c r="D13" s="14">
        <v>2.2000000000000002</v>
      </c>
      <c r="E13" s="15">
        <v>3</v>
      </c>
      <c r="F13" s="14">
        <v>30</v>
      </c>
      <c r="G13" s="15">
        <v>12</v>
      </c>
      <c r="H13" s="27" t="s">
        <v>1368</v>
      </c>
      <c r="I13" s="28">
        <v>2900</v>
      </c>
      <c r="J13" s="38" t="s">
        <v>566</v>
      </c>
      <c r="K13" s="39">
        <v>22</v>
      </c>
      <c r="L13" s="42">
        <f>0.433*0.213*0.298</f>
        <v>2.7484241999999996E-2</v>
      </c>
      <c r="M13" s="184">
        <v>657.95100000000014</v>
      </c>
      <c r="N13" s="184">
        <v>566.91600000000005</v>
      </c>
      <c r="O13" s="2"/>
      <c r="P13" s="114"/>
      <c r="Q13" s="114"/>
      <c r="R13" s="114"/>
      <c r="S13" s="115"/>
      <c r="T13" s="115"/>
    </row>
    <row r="14" spans="2:20" ht="15.75" thickBot="1">
      <c r="B14" s="2"/>
      <c r="C14" s="13" t="s">
        <v>1402</v>
      </c>
      <c r="D14" s="14">
        <v>3</v>
      </c>
      <c r="E14" s="15">
        <v>4</v>
      </c>
      <c r="F14" s="14">
        <v>30</v>
      </c>
      <c r="G14" s="15">
        <v>15</v>
      </c>
      <c r="H14" s="27" t="s">
        <v>1368</v>
      </c>
      <c r="I14" s="28">
        <v>2900</v>
      </c>
      <c r="J14" s="38" t="s">
        <v>566</v>
      </c>
      <c r="K14" s="39">
        <v>23</v>
      </c>
      <c r="L14" s="42">
        <f>0.45*0.213*0.298</f>
        <v>2.85633E-2</v>
      </c>
      <c r="M14" s="184"/>
      <c r="N14" s="184">
        <v>641.529</v>
      </c>
      <c r="O14" s="2"/>
      <c r="P14" s="114"/>
      <c r="Q14" s="114"/>
      <c r="R14" s="114"/>
      <c r="S14" s="115"/>
      <c r="T14" s="115"/>
    </row>
    <row r="15" spans="2:20" ht="23.25" thickBot="1">
      <c r="B15" s="7"/>
      <c r="C15" s="63"/>
      <c r="D15" s="63"/>
      <c r="E15" s="63"/>
      <c r="F15" s="63"/>
      <c r="G15" s="63"/>
      <c r="H15" s="63"/>
      <c r="I15" s="1"/>
      <c r="J15" s="63"/>
      <c r="K15" s="1"/>
      <c r="L15" s="1"/>
      <c r="M15" s="63"/>
      <c r="N15" s="63"/>
      <c r="O15" s="2"/>
      <c r="P15" s="114"/>
      <c r="Q15" s="114"/>
      <c r="R15" s="116"/>
      <c r="S15" s="115"/>
      <c r="T15" s="115"/>
    </row>
    <row r="16" spans="2:20" ht="78.75" customHeight="1">
      <c r="C16" s="112" t="s">
        <v>1381</v>
      </c>
      <c r="D16" s="320" t="s">
        <v>2978</v>
      </c>
      <c r="E16" s="321"/>
      <c r="F16" s="321"/>
      <c r="G16" s="321"/>
      <c r="H16" s="321"/>
      <c r="I16" s="321"/>
      <c r="J16" s="321"/>
      <c r="K16" s="321"/>
      <c r="L16" s="321"/>
      <c r="M16" s="321"/>
      <c r="N16" s="321"/>
      <c r="O16" s="2"/>
      <c r="P16" s="114"/>
      <c r="Q16" s="114"/>
      <c r="R16" s="118"/>
      <c r="S16" s="115"/>
      <c r="T16" s="115"/>
    </row>
    <row r="17" spans="2:20" ht="15">
      <c r="C17" s="47" t="s">
        <v>1374</v>
      </c>
      <c r="D17" s="48" t="s">
        <v>191</v>
      </c>
      <c r="E17" s="49"/>
      <c r="F17" s="52"/>
      <c r="G17" s="52"/>
      <c r="H17" s="52"/>
      <c r="I17" s="52"/>
      <c r="J17" s="52"/>
      <c r="K17" s="52"/>
      <c r="L17" s="52"/>
      <c r="M17" s="52"/>
      <c r="N17" s="52"/>
      <c r="O17" s="2"/>
      <c r="P17" s="114"/>
      <c r="Q17" s="114"/>
      <c r="R17" s="118"/>
      <c r="S17" s="115"/>
      <c r="T17" s="115"/>
    </row>
    <row r="18" spans="2:20" ht="15">
      <c r="C18" s="47" t="s">
        <v>1385</v>
      </c>
      <c r="D18" s="48" t="s">
        <v>1426</v>
      </c>
      <c r="E18" s="49"/>
      <c r="F18" s="52"/>
      <c r="G18" s="52"/>
      <c r="H18" s="52"/>
      <c r="I18" s="52"/>
      <c r="J18" s="52"/>
      <c r="K18" s="52"/>
      <c r="L18" s="52"/>
      <c r="M18" s="52"/>
      <c r="N18" s="52"/>
      <c r="O18" s="2"/>
      <c r="P18" s="114"/>
      <c r="Q18" s="114"/>
      <c r="R18" s="118"/>
      <c r="S18" s="115"/>
      <c r="T18" s="115"/>
    </row>
    <row r="19" spans="2:20" ht="15">
      <c r="C19" s="142" t="s">
        <v>1524</v>
      </c>
      <c r="D19" s="56" t="s">
        <v>1525</v>
      </c>
      <c r="E19" s="57"/>
      <c r="F19" s="58"/>
      <c r="G19" s="58"/>
      <c r="H19" s="58"/>
      <c r="I19" s="58"/>
      <c r="J19" s="58"/>
      <c r="K19" s="58"/>
      <c r="L19" s="58"/>
      <c r="M19" s="58"/>
      <c r="N19" s="58"/>
      <c r="O19" s="2"/>
      <c r="P19" s="114"/>
      <c r="Q19" s="114"/>
      <c r="R19" s="118"/>
      <c r="S19" s="115"/>
      <c r="T19" s="115"/>
    </row>
    <row r="20" spans="2:20" ht="15">
      <c r="C20" s="60" t="s">
        <v>1523</v>
      </c>
      <c r="D20" s="56" t="s">
        <v>195</v>
      </c>
      <c r="E20" s="57"/>
      <c r="F20" s="58"/>
      <c r="G20" s="58"/>
      <c r="H20" s="58"/>
      <c r="I20" s="58"/>
      <c r="J20" s="58"/>
      <c r="K20" s="58"/>
      <c r="L20" s="58"/>
      <c r="M20" s="58"/>
      <c r="N20" s="58"/>
      <c r="O20" s="2"/>
      <c r="P20" s="114"/>
      <c r="Q20" s="114"/>
      <c r="R20" s="118"/>
      <c r="S20" s="115"/>
      <c r="T20" s="115"/>
    </row>
    <row r="21" spans="2:20" ht="15">
      <c r="B21" s="117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2"/>
      <c r="P21" s="114"/>
      <c r="Q21" s="114"/>
      <c r="R21" s="118"/>
      <c r="S21" s="115"/>
      <c r="T21" s="115"/>
    </row>
    <row r="22" spans="2:20" ht="25.5">
      <c r="B22" s="4"/>
      <c r="C22" s="113" t="s">
        <v>1403</v>
      </c>
      <c r="D22" s="62"/>
      <c r="E22" s="62"/>
      <c r="F22" s="62"/>
      <c r="G22" s="62"/>
      <c r="H22" s="62"/>
      <c r="I22" s="17"/>
      <c r="J22" s="62"/>
      <c r="K22" s="29"/>
      <c r="L22" s="29"/>
      <c r="M22" s="62"/>
      <c r="N22" s="62"/>
      <c r="O22" s="2"/>
      <c r="P22" s="114"/>
      <c r="Q22" s="114"/>
      <c r="R22" s="116"/>
      <c r="S22" s="115"/>
      <c r="T22" s="115"/>
    </row>
    <row r="23" spans="2:20" ht="23.25" thickBot="1">
      <c r="B23" s="7"/>
      <c r="C23" s="63"/>
      <c r="D23" s="63"/>
      <c r="E23" s="63"/>
      <c r="F23" s="63"/>
      <c r="G23" s="63"/>
      <c r="H23" s="63"/>
      <c r="I23" s="1"/>
      <c r="J23" s="63"/>
      <c r="K23" s="1"/>
      <c r="L23" s="1"/>
      <c r="M23" s="63"/>
      <c r="N23" s="63"/>
      <c r="O23" s="2"/>
      <c r="P23" s="114"/>
      <c r="Q23" s="114"/>
      <c r="R23" s="116"/>
      <c r="S23" s="115"/>
      <c r="T23" s="115"/>
    </row>
    <row r="24" spans="2:20" ht="15">
      <c r="B24" s="3"/>
      <c r="C24" s="253" t="s">
        <v>0</v>
      </c>
      <c r="D24" s="255" t="s">
        <v>1</v>
      </c>
      <c r="E24" s="253"/>
      <c r="F24" s="265" t="s">
        <v>2</v>
      </c>
      <c r="G24" s="265"/>
      <c r="H24" s="18" t="s">
        <v>3</v>
      </c>
      <c r="I24" s="19" t="s">
        <v>4</v>
      </c>
      <c r="J24" s="30" t="s">
        <v>5</v>
      </c>
      <c r="K24" s="31" t="s">
        <v>6</v>
      </c>
      <c r="L24" s="31" t="s">
        <v>7</v>
      </c>
      <c r="M24" s="259" t="s">
        <v>8</v>
      </c>
      <c r="N24" s="255"/>
      <c r="O24" s="2"/>
      <c r="P24" s="114"/>
      <c r="Q24" s="114"/>
      <c r="R24" s="114"/>
      <c r="S24" s="115"/>
      <c r="T24" s="115"/>
    </row>
    <row r="25" spans="2:20" ht="15">
      <c r="B25" s="9"/>
      <c r="C25" s="254"/>
      <c r="D25" s="256"/>
      <c r="E25" s="254"/>
      <c r="F25" s="20" t="s">
        <v>9</v>
      </c>
      <c r="G25" s="10" t="s">
        <v>10</v>
      </c>
      <c r="H25" s="21"/>
      <c r="I25" s="22"/>
      <c r="J25" s="32"/>
      <c r="K25" s="33"/>
      <c r="L25" s="33"/>
      <c r="M25" s="260" t="s">
        <v>11</v>
      </c>
      <c r="N25" s="261"/>
      <c r="O25" s="2"/>
      <c r="P25" s="114"/>
      <c r="Q25" s="114"/>
      <c r="R25" s="119"/>
      <c r="S25" s="115"/>
      <c r="T25" s="115"/>
    </row>
    <row r="26" spans="2:20" ht="15.75" thickBot="1">
      <c r="B26" s="3"/>
      <c r="C26" s="11"/>
      <c r="D26" s="12" t="s">
        <v>12</v>
      </c>
      <c r="E26" s="11" t="s">
        <v>13</v>
      </c>
      <c r="F26" s="23" t="s">
        <v>14</v>
      </c>
      <c r="G26" s="24" t="s">
        <v>15</v>
      </c>
      <c r="H26" s="25" t="s">
        <v>16</v>
      </c>
      <c r="I26" s="26" t="s">
        <v>17</v>
      </c>
      <c r="J26" s="34"/>
      <c r="K26" s="35" t="s">
        <v>18</v>
      </c>
      <c r="L26" s="36" t="s">
        <v>19</v>
      </c>
      <c r="M26" s="37" t="s">
        <v>486</v>
      </c>
      <c r="N26" s="43" t="s">
        <v>487</v>
      </c>
      <c r="O26" s="2"/>
      <c r="P26" s="114"/>
      <c r="Q26" s="114"/>
      <c r="R26" s="114"/>
      <c r="S26" s="115"/>
      <c r="T26" s="115"/>
    </row>
    <row r="27" spans="2:20" ht="15.75" thickBot="1">
      <c r="B27" s="2"/>
      <c r="C27" s="13" t="s">
        <v>1404</v>
      </c>
      <c r="D27" s="14">
        <v>0.37</v>
      </c>
      <c r="E27" s="15">
        <v>0.5</v>
      </c>
      <c r="F27" s="14">
        <v>4.2</v>
      </c>
      <c r="G27" s="15">
        <v>14</v>
      </c>
      <c r="H27" s="27" t="s">
        <v>538</v>
      </c>
      <c r="I27" s="28">
        <v>2900</v>
      </c>
      <c r="J27" s="38" t="s">
        <v>566</v>
      </c>
      <c r="K27" s="39">
        <v>8</v>
      </c>
      <c r="L27" s="42">
        <f>0.347*0.228*0.269</f>
        <v>2.1282203999999999E-2</v>
      </c>
      <c r="M27" s="184">
        <v>284.529</v>
      </c>
      <c r="N27" s="184">
        <v>286.31400000000002</v>
      </c>
      <c r="O27" s="2"/>
      <c r="P27" s="114"/>
      <c r="Q27" s="114"/>
      <c r="R27" s="114"/>
      <c r="S27" s="115"/>
      <c r="T27" s="115"/>
    </row>
    <row r="28" spans="2:20" ht="15.75" thickBot="1">
      <c r="B28" s="16"/>
      <c r="C28" s="13" t="s">
        <v>1405</v>
      </c>
      <c r="D28" s="14">
        <v>0.55000000000000004</v>
      </c>
      <c r="E28" s="15">
        <v>0.75</v>
      </c>
      <c r="F28" s="14">
        <v>4.2</v>
      </c>
      <c r="G28" s="15">
        <v>19</v>
      </c>
      <c r="H28" s="27" t="s">
        <v>538</v>
      </c>
      <c r="I28" s="28">
        <v>2900</v>
      </c>
      <c r="J28" s="38" t="s">
        <v>566</v>
      </c>
      <c r="K28" s="39">
        <v>9</v>
      </c>
      <c r="L28" s="42">
        <f>0.347*0.228*0.269</f>
        <v>2.1282203999999999E-2</v>
      </c>
      <c r="M28" s="184">
        <v>304.16399999999999</v>
      </c>
      <c r="N28" s="184">
        <v>307.73399999999998</v>
      </c>
      <c r="O28" s="2"/>
      <c r="P28" s="114"/>
      <c r="Q28" s="114"/>
      <c r="R28" s="114"/>
      <c r="S28" s="115"/>
      <c r="T28" s="115"/>
    </row>
    <row r="29" spans="2:20" ht="15.75" thickBot="1">
      <c r="B29" s="2"/>
      <c r="C29" s="13" t="s">
        <v>1406</v>
      </c>
      <c r="D29" s="14">
        <v>0.75</v>
      </c>
      <c r="E29" s="15">
        <v>1</v>
      </c>
      <c r="F29" s="14">
        <v>5.4</v>
      </c>
      <c r="G29" s="15">
        <v>22.2</v>
      </c>
      <c r="H29" s="27" t="s">
        <v>538</v>
      </c>
      <c r="I29" s="28">
        <v>2900</v>
      </c>
      <c r="J29" s="38" t="s">
        <v>566</v>
      </c>
      <c r="K29" s="39">
        <v>11</v>
      </c>
      <c r="L29" s="42">
        <f>0.347*0.228*0.269</f>
        <v>2.1282203999999999E-2</v>
      </c>
      <c r="M29" s="184">
        <v>324.87</v>
      </c>
      <c r="N29" s="184">
        <v>322.01400000000001</v>
      </c>
      <c r="O29" s="2"/>
      <c r="P29" s="114"/>
      <c r="Q29" s="114"/>
      <c r="R29" s="114"/>
      <c r="S29" s="115"/>
      <c r="T29" s="115"/>
    </row>
    <row r="30" spans="2:20" ht="15.75" thickBot="1">
      <c r="B30" s="2"/>
      <c r="C30" s="13" t="s">
        <v>1407</v>
      </c>
      <c r="D30" s="14">
        <v>0.55000000000000004</v>
      </c>
      <c r="E30" s="15">
        <v>0.75</v>
      </c>
      <c r="F30" s="14">
        <v>7.2</v>
      </c>
      <c r="G30" s="15">
        <v>16</v>
      </c>
      <c r="H30" s="27" t="s">
        <v>538</v>
      </c>
      <c r="I30" s="28">
        <v>2900</v>
      </c>
      <c r="J30" s="38" t="s">
        <v>566</v>
      </c>
      <c r="K30" s="39">
        <v>10</v>
      </c>
      <c r="L30" s="42">
        <f>0.347*0.228*0.269</f>
        <v>2.1282203999999999E-2</v>
      </c>
      <c r="M30" s="184">
        <v>305.94900000000001</v>
      </c>
      <c r="N30" s="184">
        <v>309.51900000000001</v>
      </c>
      <c r="O30" s="2"/>
      <c r="P30" s="114"/>
      <c r="Q30" s="114"/>
      <c r="R30" s="114"/>
      <c r="S30" s="115"/>
      <c r="T30" s="115"/>
    </row>
    <row r="31" spans="2:20" ht="15.75" thickBot="1">
      <c r="B31" s="2"/>
      <c r="C31" s="13" t="s">
        <v>1408</v>
      </c>
      <c r="D31" s="14">
        <v>0.9</v>
      </c>
      <c r="E31" s="15">
        <v>1.2</v>
      </c>
      <c r="F31" s="14">
        <v>7.2</v>
      </c>
      <c r="G31" s="15">
        <v>22.8</v>
      </c>
      <c r="H31" s="27" t="s">
        <v>538</v>
      </c>
      <c r="I31" s="28">
        <v>2900</v>
      </c>
      <c r="J31" s="38" t="s">
        <v>566</v>
      </c>
      <c r="K31" s="39">
        <v>11</v>
      </c>
      <c r="L31" s="42">
        <f>0.347*0.228*0.269</f>
        <v>2.1282203999999999E-2</v>
      </c>
      <c r="M31" s="184">
        <v>383.77500000000003</v>
      </c>
      <c r="N31" s="184">
        <v>352.35899999999998</v>
      </c>
      <c r="O31" s="2"/>
      <c r="P31" s="114"/>
      <c r="Q31" s="114"/>
      <c r="R31" s="114"/>
      <c r="S31" s="115"/>
      <c r="T31" s="115"/>
    </row>
    <row r="32" spans="2:20" ht="15.75" thickBot="1">
      <c r="B32" s="2"/>
      <c r="C32" s="13" t="s">
        <v>1409</v>
      </c>
      <c r="D32" s="14">
        <v>1.5</v>
      </c>
      <c r="E32" s="15">
        <v>2</v>
      </c>
      <c r="F32" s="14">
        <v>7.2</v>
      </c>
      <c r="G32" s="15">
        <v>27.8</v>
      </c>
      <c r="H32" s="27" t="s">
        <v>538</v>
      </c>
      <c r="I32" s="28">
        <v>2900</v>
      </c>
      <c r="J32" s="38" t="s">
        <v>566</v>
      </c>
      <c r="K32" s="39">
        <v>16</v>
      </c>
      <c r="L32" s="42">
        <f>0.372*0.252*0.29</f>
        <v>2.7185759999999996E-2</v>
      </c>
      <c r="M32" s="184">
        <v>460.53000000000003</v>
      </c>
      <c r="N32" s="184">
        <v>417.69</v>
      </c>
      <c r="O32" s="2"/>
      <c r="P32" s="114"/>
      <c r="Q32" s="114"/>
      <c r="R32" s="114"/>
      <c r="S32" s="115"/>
      <c r="T32" s="115"/>
    </row>
    <row r="33" spans="2:20" ht="15.75" thickBot="1">
      <c r="B33" s="2"/>
      <c r="C33" s="13" t="s">
        <v>1410</v>
      </c>
      <c r="D33" s="14">
        <v>0.9</v>
      </c>
      <c r="E33" s="15">
        <v>1.2</v>
      </c>
      <c r="F33" s="14">
        <v>9</v>
      </c>
      <c r="G33" s="15">
        <v>17</v>
      </c>
      <c r="H33" s="27" t="s">
        <v>1411</v>
      </c>
      <c r="I33" s="28">
        <v>2900</v>
      </c>
      <c r="J33" s="38" t="s">
        <v>566</v>
      </c>
      <c r="K33" s="39">
        <v>14</v>
      </c>
      <c r="L33" s="42">
        <f>0.347*0.228*0.269</f>
        <v>2.1282203999999999E-2</v>
      </c>
      <c r="M33" s="184">
        <v>383.06100000000004</v>
      </c>
      <c r="N33" s="184">
        <v>350.93100000000004</v>
      </c>
      <c r="O33" s="2"/>
      <c r="P33" s="114"/>
      <c r="Q33" s="114"/>
      <c r="R33" s="114"/>
      <c r="S33" s="115"/>
      <c r="T33" s="115"/>
    </row>
    <row r="34" spans="2:20" ht="15.75" thickBot="1">
      <c r="B34" s="2"/>
      <c r="C34" s="13" t="s">
        <v>1412</v>
      </c>
      <c r="D34" s="14">
        <v>1.5</v>
      </c>
      <c r="E34" s="15">
        <v>2</v>
      </c>
      <c r="F34" s="14">
        <v>9</v>
      </c>
      <c r="G34" s="15">
        <v>25</v>
      </c>
      <c r="H34" s="27" t="s">
        <v>1411</v>
      </c>
      <c r="I34" s="28">
        <v>2900</v>
      </c>
      <c r="J34" s="38" t="s">
        <v>566</v>
      </c>
      <c r="K34" s="39">
        <v>15</v>
      </c>
      <c r="L34" s="42">
        <f>0.372*0.228*0.269</f>
        <v>2.2815504000000004E-2</v>
      </c>
      <c r="M34" s="184">
        <v>450.89100000000002</v>
      </c>
      <c r="N34" s="184">
        <v>408.05100000000004</v>
      </c>
      <c r="O34" s="2"/>
      <c r="P34" s="114"/>
      <c r="Q34" s="114"/>
      <c r="R34" s="114"/>
      <c r="S34" s="115"/>
      <c r="T34" s="115"/>
    </row>
    <row r="35" spans="2:20" ht="15.75" thickBot="1">
      <c r="B35" s="2"/>
      <c r="C35" s="13" t="s">
        <v>1413</v>
      </c>
      <c r="D35" s="14">
        <v>1.8</v>
      </c>
      <c r="E35" s="15">
        <v>2.5</v>
      </c>
      <c r="F35" s="14">
        <v>12</v>
      </c>
      <c r="G35" s="15">
        <v>27.5</v>
      </c>
      <c r="H35" s="27" t="s">
        <v>1411</v>
      </c>
      <c r="I35" s="28">
        <v>2900</v>
      </c>
      <c r="J35" s="38" t="s">
        <v>566</v>
      </c>
      <c r="K35" s="39">
        <v>22</v>
      </c>
      <c r="L35" s="42">
        <f>0.402*0.252*0.29</f>
        <v>2.937816E-2</v>
      </c>
      <c r="M35" s="184">
        <v>586.19399999999996</v>
      </c>
      <c r="N35" s="184">
        <v>504.08399999999995</v>
      </c>
      <c r="O35" s="2"/>
      <c r="P35" s="114"/>
      <c r="Q35" s="114"/>
      <c r="R35" s="114"/>
      <c r="S35" s="115"/>
      <c r="T35" s="115"/>
    </row>
    <row r="36" spans="2:20" ht="23.25" thickBot="1">
      <c r="B36" s="7"/>
      <c r="C36" s="63"/>
      <c r="D36" s="63"/>
      <c r="E36" s="63"/>
      <c r="F36" s="63"/>
      <c r="G36" s="63"/>
      <c r="H36" s="63"/>
      <c r="I36" s="1"/>
      <c r="J36" s="63"/>
      <c r="K36" s="1"/>
      <c r="L36" s="1"/>
      <c r="M36" s="63"/>
      <c r="N36" s="63"/>
      <c r="O36" s="2"/>
      <c r="P36" s="114"/>
      <c r="Q36" s="114"/>
      <c r="R36" s="116"/>
      <c r="S36" s="115"/>
      <c r="T36" s="115"/>
    </row>
    <row r="37" spans="2:20" ht="72" customHeight="1">
      <c r="C37" s="112" t="s">
        <v>1381</v>
      </c>
      <c r="D37" s="320" t="s">
        <v>2978</v>
      </c>
      <c r="E37" s="321"/>
      <c r="F37" s="321"/>
      <c r="G37" s="321"/>
      <c r="H37" s="321"/>
      <c r="I37" s="321"/>
      <c r="J37" s="321"/>
      <c r="K37" s="321"/>
      <c r="L37" s="321"/>
      <c r="M37" s="321"/>
      <c r="N37" s="321"/>
      <c r="O37" s="2"/>
      <c r="P37" s="114"/>
      <c r="Q37" s="114"/>
      <c r="R37" s="118"/>
      <c r="S37" s="115"/>
      <c r="T37" s="115"/>
    </row>
    <row r="38" spans="2:20" ht="15">
      <c r="C38" s="47" t="s">
        <v>1374</v>
      </c>
      <c r="D38" s="48" t="s">
        <v>191</v>
      </c>
      <c r="E38" s="49"/>
      <c r="F38" s="52"/>
      <c r="G38" s="52"/>
      <c r="H38" s="52"/>
      <c r="I38" s="52"/>
      <c r="J38" s="52"/>
      <c r="K38" s="52"/>
      <c r="L38" s="52"/>
      <c r="M38" s="52"/>
      <c r="N38" s="52"/>
      <c r="O38" s="2"/>
      <c r="P38" s="114"/>
      <c r="Q38" s="114"/>
      <c r="R38" s="118"/>
      <c r="S38" s="115"/>
      <c r="T38" s="115"/>
    </row>
    <row r="39" spans="2:20" ht="15">
      <c r="C39" s="47" t="s">
        <v>1385</v>
      </c>
      <c r="D39" s="48" t="s">
        <v>1426</v>
      </c>
      <c r="E39" s="49"/>
      <c r="F39" s="52"/>
      <c r="G39" s="52"/>
      <c r="H39" s="52"/>
      <c r="I39" s="52"/>
      <c r="J39" s="52"/>
      <c r="K39" s="52"/>
      <c r="L39" s="52"/>
      <c r="M39" s="52"/>
      <c r="N39" s="52"/>
      <c r="O39" s="2"/>
      <c r="P39" s="114"/>
      <c r="Q39" s="114"/>
      <c r="R39" s="118"/>
      <c r="S39" s="115"/>
      <c r="T39" s="115"/>
    </row>
    <row r="40" spans="2:20" ht="15">
      <c r="C40" s="142" t="s">
        <v>1524</v>
      </c>
      <c r="D40" s="56" t="s">
        <v>1526</v>
      </c>
      <c r="E40" s="57"/>
      <c r="F40" s="58"/>
      <c r="G40" s="58"/>
      <c r="H40" s="58"/>
      <c r="I40" s="58"/>
      <c r="J40" s="58"/>
      <c r="K40" s="58"/>
      <c r="L40" s="58"/>
      <c r="M40" s="58"/>
      <c r="N40" s="58"/>
      <c r="O40" s="2"/>
      <c r="P40" s="114"/>
      <c r="Q40" s="114"/>
      <c r="R40" s="118"/>
      <c r="S40" s="115"/>
      <c r="T40" s="115"/>
    </row>
    <row r="41" spans="2:20" ht="15">
      <c r="C41" s="60" t="s">
        <v>1523</v>
      </c>
      <c r="D41" s="56" t="s">
        <v>195</v>
      </c>
      <c r="E41" s="57"/>
      <c r="F41" s="58"/>
      <c r="G41" s="58"/>
      <c r="H41" s="58"/>
      <c r="I41" s="58"/>
      <c r="J41" s="58"/>
      <c r="K41" s="58"/>
      <c r="L41" s="58"/>
      <c r="M41" s="58"/>
      <c r="N41" s="58"/>
      <c r="O41" s="2"/>
      <c r="P41" s="114"/>
      <c r="Q41" s="114"/>
      <c r="R41" s="118"/>
      <c r="S41" s="115"/>
      <c r="T41" s="115"/>
    </row>
    <row r="42" spans="2:20" ht="15">
      <c r="B42" s="117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2"/>
      <c r="P42" s="114"/>
      <c r="Q42" s="114"/>
      <c r="R42" s="118"/>
      <c r="S42" s="115"/>
      <c r="T42" s="115"/>
    </row>
    <row r="43" spans="2:20" ht="25.5">
      <c r="B43" s="4"/>
      <c r="C43" s="113" t="s">
        <v>1414</v>
      </c>
      <c r="D43" s="62"/>
      <c r="E43" s="62"/>
      <c r="F43" s="62"/>
      <c r="G43" s="62"/>
      <c r="H43" s="62"/>
      <c r="I43" s="17"/>
      <c r="J43" s="62"/>
      <c r="K43" s="29"/>
      <c r="L43" s="29"/>
      <c r="M43" s="62"/>
      <c r="N43" s="62"/>
      <c r="O43" s="2"/>
      <c r="P43" s="114"/>
      <c r="Q43" s="114"/>
      <c r="R43" s="116"/>
      <c r="S43" s="115"/>
      <c r="T43" s="115"/>
    </row>
    <row r="44" spans="2:20" ht="23.25" thickBot="1">
      <c r="B44" s="7"/>
      <c r="C44" s="63"/>
      <c r="D44" s="63"/>
      <c r="E44" s="63"/>
      <c r="F44" s="63"/>
      <c r="G44" s="63"/>
      <c r="H44" s="63"/>
      <c r="I44" s="1"/>
      <c r="J44" s="63"/>
      <c r="K44" s="1"/>
      <c r="L44" s="1"/>
      <c r="M44" s="63"/>
      <c r="N44" s="63"/>
      <c r="O44" s="2"/>
      <c r="P44" s="114"/>
      <c r="Q44" s="114"/>
      <c r="R44" s="116"/>
      <c r="S44" s="115"/>
      <c r="T44" s="115"/>
    </row>
    <row r="45" spans="2:20" ht="15">
      <c r="B45" s="3"/>
      <c r="C45" s="253" t="s">
        <v>0</v>
      </c>
      <c r="D45" s="255" t="s">
        <v>1</v>
      </c>
      <c r="E45" s="253"/>
      <c r="F45" s="265" t="s">
        <v>2</v>
      </c>
      <c r="G45" s="265"/>
      <c r="H45" s="18" t="s">
        <v>3</v>
      </c>
      <c r="I45" s="19" t="s">
        <v>4</v>
      </c>
      <c r="J45" s="30" t="s">
        <v>5</v>
      </c>
      <c r="K45" s="31" t="s">
        <v>6</v>
      </c>
      <c r="L45" s="31" t="s">
        <v>7</v>
      </c>
      <c r="M45" s="259" t="s">
        <v>8</v>
      </c>
      <c r="N45" s="255"/>
      <c r="O45" s="2"/>
      <c r="P45" s="114"/>
      <c r="Q45" s="114"/>
      <c r="R45" s="114"/>
      <c r="S45" s="115"/>
      <c r="T45" s="115"/>
    </row>
    <row r="46" spans="2:20" ht="15">
      <c r="B46" s="9"/>
      <c r="C46" s="254"/>
      <c r="D46" s="256"/>
      <c r="E46" s="254"/>
      <c r="F46" s="20" t="s">
        <v>9</v>
      </c>
      <c r="G46" s="10" t="s">
        <v>10</v>
      </c>
      <c r="H46" s="21"/>
      <c r="I46" s="22"/>
      <c r="J46" s="32"/>
      <c r="K46" s="33"/>
      <c r="L46" s="33"/>
      <c r="M46" s="260" t="s">
        <v>11</v>
      </c>
      <c r="N46" s="261"/>
      <c r="O46" s="2"/>
      <c r="P46" s="114"/>
      <c r="Q46" s="114"/>
      <c r="R46" s="119"/>
      <c r="S46" s="115"/>
      <c r="T46" s="115"/>
    </row>
    <row r="47" spans="2:20" ht="15.75" thickBot="1">
      <c r="B47" s="3"/>
      <c r="C47" s="11"/>
      <c r="D47" s="12" t="s">
        <v>12</v>
      </c>
      <c r="E47" s="11" t="s">
        <v>13</v>
      </c>
      <c r="F47" s="23" t="s">
        <v>14</v>
      </c>
      <c r="G47" s="24" t="s">
        <v>15</v>
      </c>
      <c r="H47" s="25" t="s">
        <v>16</v>
      </c>
      <c r="I47" s="26" t="s">
        <v>17</v>
      </c>
      <c r="J47" s="34"/>
      <c r="K47" s="35" t="s">
        <v>18</v>
      </c>
      <c r="L47" s="36" t="s">
        <v>19</v>
      </c>
      <c r="M47" s="37" t="s">
        <v>486</v>
      </c>
      <c r="N47" s="43" t="s">
        <v>487</v>
      </c>
      <c r="O47" s="2"/>
      <c r="P47" s="114"/>
      <c r="Q47" s="114"/>
      <c r="R47" s="114"/>
      <c r="S47" s="115"/>
      <c r="T47" s="115"/>
    </row>
    <row r="48" spans="2:20" ht="15.75" thickBot="1">
      <c r="B48" s="2"/>
      <c r="C48" s="13" t="s">
        <v>1415</v>
      </c>
      <c r="D48" s="14">
        <v>0.75</v>
      </c>
      <c r="E48" s="15">
        <v>1</v>
      </c>
      <c r="F48" s="14">
        <v>4.2</v>
      </c>
      <c r="G48" s="15">
        <v>31</v>
      </c>
      <c r="H48" s="27" t="s">
        <v>538</v>
      </c>
      <c r="I48" s="28">
        <v>2900</v>
      </c>
      <c r="J48" s="38" t="s">
        <v>24</v>
      </c>
      <c r="K48" s="39">
        <v>12</v>
      </c>
      <c r="L48" s="42">
        <f>0.376*0.228*0.269</f>
        <v>2.3060832E-2</v>
      </c>
      <c r="M48" s="239">
        <v>429.22110000000004</v>
      </c>
      <c r="N48" s="240">
        <v>425.29410000000007</v>
      </c>
      <c r="O48" s="2"/>
      <c r="P48" s="238"/>
      <c r="Q48" s="238"/>
      <c r="R48" s="114"/>
      <c r="S48" s="115"/>
      <c r="T48" s="115"/>
    </row>
    <row r="49" spans="2:20" ht="15.75" thickBot="1">
      <c r="B49" s="2"/>
      <c r="C49" s="13" t="s">
        <v>1416</v>
      </c>
      <c r="D49" s="14">
        <v>0.9</v>
      </c>
      <c r="E49" s="15">
        <v>1.2</v>
      </c>
      <c r="F49" s="14">
        <v>4.2</v>
      </c>
      <c r="G49" s="15">
        <v>34</v>
      </c>
      <c r="H49" s="27" t="s">
        <v>538</v>
      </c>
      <c r="I49" s="28">
        <v>2900</v>
      </c>
      <c r="J49" s="38" t="s">
        <v>24</v>
      </c>
      <c r="K49" s="39">
        <v>13</v>
      </c>
      <c r="L49" s="42">
        <f>0.402*0.228*0.269</f>
        <v>2.4655464000000005E-2</v>
      </c>
      <c r="M49" s="239">
        <v>483.02100000000007</v>
      </c>
      <c r="N49" s="240">
        <v>448.46340000000004</v>
      </c>
      <c r="O49" s="2"/>
      <c r="P49" s="238"/>
      <c r="Q49" s="238"/>
      <c r="R49" s="114"/>
      <c r="S49" s="115"/>
      <c r="T49" s="115"/>
    </row>
    <row r="50" spans="2:20" ht="15.75" thickBot="1">
      <c r="B50" s="16"/>
      <c r="C50" s="13" t="s">
        <v>1417</v>
      </c>
      <c r="D50" s="14">
        <v>1.1000000000000001</v>
      </c>
      <c r="E50" s="15">
        <v>1.5</v>
      </c>
      <c r="F50" s="14">
        <v>4.2</v>
      </c>
      <c r="G50" s="15">
        <v>43</v>
      </c>
      <c r="H50" s="27" t="s">
        <v>538</v>
      </c>
      <c r="I50" s="28">
        <v>2900</v>
      </c>
      <c r="J50" s="38" t="s">
        <v>24</v>
      </c>
      <c r="K50" s="39">
        <v>18</v>
      </c>
      <c r="L50" s="42">
        <f>0.402*0.25*0.289</f>
        <v>2.9044500000000001E-2</v>
      </c>
      <c r="M50" s="239">
        <v>554.49239999999998</v>
      </c>
      <c r="N50" s="240">
        <v>501.47790000000003</v>
      </c>
      <c r="O50" s="2"/>
      <c r="P50" s="238"/>
      <c r="Q50" s="238"/>
      <c r="R50" s="114"/>
      <c r="S50" s="115"/>
      <c r="T50" s="115"/>
    </row>
    <row r="51" spans="2:20" ht="15.75" thickBot="1">
      <c r="B51" s="2"/>
      <c r="C51" s="13" t="s">
        <v>1418</v>
      </c>
      <c r="D51" s="14">
        <v>1.5</v>
      </c>
      <c r="E51" s="15">
        <v>2</v>
      </c>
      <c r="F51" s="14">
        <v>4.2</v>
      </c>
      <c r="G51" s="15">
        <v>48</v>
      </c>
      <c r="H51" s="27" t="s">
        <v>538</v>
      </c>
      <c r="I51" s="28">
        <v>2900</v>
      </c>
      <c r="J51" s="38" t="s">
        <v>24</v>
      </c>
      <c r="K51" s="39">
        <v>20</v>
      </c>
      <c r="L51" s="42">
        <f>0.402*0.25*0.289</f>
        <v>2.9044500000000001E-2</v>
      </c>
      <c r="M51" s="239">
        <v>587.08650000000011</v>
      </c>
      <c r="N51" s="240">
        <v>540.74789999999996</v>
      </c>
      <c r="O51" s="2"/>
      <c r="P51" s="238"/>
      <c r="Q51" s="238"/>
      <c r="R51" s="114"/>
      <c r="S51" s="115"/>
      <c r="T51" s="115"/>
    </row>
    <row r="52" spans="2:20" ht="15.75" thickBot="1">
      <c r="B52" s="2"/>
      <c r="C52" s="13" t="s">
        <v>1419</v>
      </c>
      <c r="D52" s="14">
        <v>1.1000000000000001</v>
      </c>
      <c r="E52" s="15">
        <v>1.5</v>
      </c>
      <c r="F52" s="14">
        <v>7.2</v>
      </c>
      <c r="G52" s="15">
        <v>32</v>
      </c>
      <c r="H52" s="27" t="s">
        <v>538</v>
      </c>
      <c r="I52" s="28">
        <v>2900</v>
      </c>
      <c r="J52" s="38" t="s">
        <v>24</v>
      </c>
      <c r="K52" s="39">
        <v>17</v>
      </c>
      <c r="L52" s="42">
        <f>0.402*0.228*0.269</f>
        <v>2.4655464000000005E-2</v>
      </c>
      <c r="M52" s="239">
        <v>534.072</v>
      </c>
      <c r="N52" s="240">
        <v>481.0575</v>
      </c>
      <c r="O52" s="2"/>
      <c r="P52" s="238"/>
      <c r="Q52" s="238"/>
      <c r="R52" s="114"/>
      <c r="S52" s="115"/>
      <c r="T52" s="115"/>
    </row>
    <row r="53" spans="2:20" ht="15.75" thickBot="1">
      <c r="B53" s="2"/>
      <c r="C53" s="13" t="s">
        <v>1420</v>
      </c>
      <c r="D53" s="14">
        <v>1.5</v>
      </c>
      <c r="E53" s="15">
        <v>2</v>
      </c>
      <c r="F53" s="14">
        <v>7.2</v>
      </c>
      <c r="G53" s="15">
        <v>38</v>
      </c>
      <c r="H53" s="27" t="s">
        <v>538</v>
      </c>
      <c r="I53" s="28">
        <v>2900</v>
      </c>
      <c r="J53" s="38" t="s">
        <v>24</v>
      </c>
      <c r="K53" s="39">
        <v>18</v>
      </c>
      <c r="L53" s="42">
        <f>0.402*0.228*0.269</f>
        <v>2.4655464000000005E-2</v>
      </c>
      <c r="M53" s="239">
        <v>567.45150000000001</v>
      </c>
      <c r="N53" s="240">
        <v>519.54210000000012</v>
      </c>
      <c r="O53" s="2"/>
      <c r="P53" s="238"/>
      <c r="Q53" s="238"/>
      <c r="R53" s="114"/>
      <c r="S53" s="115"/>
      <c r="T53" s="115"/>
    </row>
    <row r="54" spans="2:20" ht="15.75" thickBot="1">
      <c r="B54" s="2"/>
      <c r="C54" s="13" t="s">
        <v>1421</v>
      </c>
      <c r="D54" s="14">
        <v>2.2000000000000002</v>
      </c>
      <c r="E54" s="15">
        <v>3</v>
      </c>
      <c r="F54" s="14">
        <v>7.2</v>
      </c>
      <c r="G54" s="15">
        <v>50</v>
      </c>
      <c r="H54" s="27" t="s">
        <v>538</v>
      </c>
      <c r="I54" s="28">
        <v>2900</v>
      </c>
      <c r="J54" s="38" t="s">
        <v>24</v>
      </c>
      <c r="K54" s="39">
        <v>25</v>
      </c>
      <c r="L54" s="42">
        <f>0.435*0.25*0.289</f>
        <v>3.1428749999999998E-2</v>
      </c>
      <c r="M54" s="239"/>
      <c r="N54" s="240">
        <v>699.79140000000007</v>
      </c>
      <c r="O54" s="2"/>
      <c r="P54" s="238"/>
      <c r="Q54" s="238"/>
      <c r="R54" s="114"/>
      <c r="S54" s="115"/>
      <c r="T54" s="115"/>
    </row>
    <row r="55" spans="2:20" ht="15.75" thickBot="1">
      <c r="B55" s="2"/>
      <c r="C55" s="13" t="s">
        <v>1422</v>
      </c>
      <c r="D55" s="14">
        <v>3</v>
      </c>
      <c r="E55" s="15">
        <v>4</v>
      </c>
      <c r="F55" s="14">
        <v>7.2</v>
      </c>
      <c r="G55" s="15">
        <v>56</v>
      </c>
      <c r="H55" s="27" t="s">
        <v>538</v>
      </c>
      <c r="I55" s="28">
        <v>2900</v>
      </c>
      <c r="J55" s="38" t="s">
        <v>24</v>
      </c>
      <c r="K55" s="39">
        <v>27</v>
      </c>
      <c r="L55" s="42">
        <f>0.457*0.25*0.289</f>
        <v>3.3018249999999999E-2</v>
      </c>
      <c r="M55" s="239"/>
      <c r="N55" s="240">
        <v>733.56360000000018</v>
      </c>
      <c r="O55" s="2"/>
      <c r="P55" s="238"/>
      <c r="Q55" s="238"/>
      <c r="R55" s="114"/>
      <c r="S55" s="115"/>
      <c r="T55" s="115"/>
    </row>
    <row r="56" spans="2:20" ht="15.75" thickBot="1">
      <c r="B56" s="2"/>
      <c r="C56" s="13" t="s">
        <v>1423</v>
      </c>
      <c r="D56" s="14">
        <v>2.2000000000000002</v>
      </c>
      <c r="E56" s="15">
        <v>3</v>
      </c>
      <c r="F56" s="14">
        <v>12</v>
      </c>
      <c r="G56" s="15">
        <v>34</v>
      </c>
      <c r="H56" s="27" t="s">
        <v>1411</v>
      </c>
      <c r="I56" s="28">
        <v>2900</v>
      </c>
      <c r="J56" s="38" t="s">
        <v>24</v>
      </c>
      <c r="K56" s="39">
        <v>25</v>
      </c>
      <c r="L56" s="42">
        <f>0.435*0.228*0.269</f>
        <v>2.6679420000000002E-2</v>
      </c>
      <c r="M56" s="239"/>
      <c r="N56" s="240">
        <v>672.69510000000014</v>
      </c>
      <c r="O56" s="2"/>
      <c r="P56" s="238"/>
      <c r="Q56" s="238"/>
      <c r="R56" s="114"/>
      <c r="S56" s="115"/>
      <c r="T56" s="115"/>
    </row>
    <row r="57" spans="2:20" ht="15.75" thickBot="1">
      <c r="B57" s="2"/>
      <c r="C57" s="13" t="s">
        <v>1424</v>
      </c>
      <c r="D57" s="14">
        <v>3</v>
      </c>
      <c r="E57" s="15">
        <v>4</v>
      </c>
      <c r="F57" s="14">
        <v>12</v>
      </c>
      <c r="G57" s="15">
        <v>48</v>
      </c>
      <c r="H57" s="27" t="s">
        <v>1411</v>
      </c>
      <c r="I57" s="28">
        <v>2900</v>
      </c>
      <c r="J57" s="38" t="s">
        <v>24</v>
      </c>
      <c r="K57" s="39">
        <v>27</v>
      </c>
      <c r="L57" s="42">
        <f>0.457*0.25*0.289</f>
        <v>3.3018249999999999E-2</v>
      </c>
      <c r="M57" s="239"/>
      <c r="N57" s="240">
        <v>732.38550000000009</v>
      </c>
      <c r="O57" s="2"/>
      <c r="P57" s="238"/>
      <c r="Q57" s="238"/>
      <c r="R57" s="114"/>
      <c r="S57" s="115"/>
      <c r="T57" s="115"/>
    </row>
    <row r="58" spans="2:20" ht="15.75" thickBot="1">
      <c r="B58" s="2"/>
      <c r="C58" s="13" t="s">
        <v>1425</v>
      </c>
      <c r="D58" s="14">
        <v>3.7</v>
      </c>
      <c r="E58" s="15">
        <v>5</v>
      </c>
      <c r="F58" s="14">
        <v>12</v>
      </c>
      <c r="G58" s="15">
        <v>56</v>
      </c>
      <c r="H58" s="27" t="s">
        <v>1411</v>
      </c>
      <c r="I58" s="28">
        <v>2900</v>
      </c>
      <c r="J58" s="38" t="s">
        <v>24</v>
      </c>
      <c r="K58" s="39">
        <v>31</v>
      </c>
      <c r="L58" s="42">
        <f>0.489*0.25*0.289</f>
        <v>3.5330249999999994E-2</v>
      </c>
      <c r="M58" s="239"/>
      <c r="N58" s="240">
        <v>906.35160000000019</v>
      </c>
      <c r="O58" s="2"/>
      <c r="P58" s="238"/>
      <c r="Q58" s="238"/>
      <c r="R58" s="114"/>
      <c r="S58" s="115"/>
      <c r="T58" s="115"/>
    </row>
    <row r="59" spans="2:20" ht="23.25" thickBot="1">
      <c r="B59" s="7"/>
      <c r="C59" s="63"/>
      <c r="D59" s="63"/>
      <c r="E59" s="63"/>
      <c r="F59" s="63"/>
      <c r="G59" s="63"/>
      <c r="H59" s="63"/>
      <c r="I59" s="1"/>
      <c r="J59" s="63"/>
      <c r="K59" s="1"/>
      <c r="L59" s="1"/>
      <c r="M59" s="63"/>
      <c r="N59" s="63"/>
      <c r="O59" s="1"/>
      <c r="P59" s="1"/>
      <c r="Q59" s="1"/>
      <c r="R59" s="1"/>
    </row>
    <row r="60" spans="2:20" ht="78" customHeight="1">
      <c r="C60" s="112" t="s">
        <v>1381</v>
      </c>
      <c r="D60" s="320" t="s">
        <v>2978</v>
      </c>
      <c r="E60" s="321"/>
      <c r="F60" s="321"/>
      <c r="G60" s="321"/>
      <c r="H60" s="321"/>
      <c r="I60" s="321"/>
      <c r="J60" s="321"/>
      <c r="K60" s="321"/>
      <c r="L60" s="321"/>
      <c r="M60" s="321"/>
      <c r="N60" s="321"/>
      <c r="O60" s="117"/>
      <c r="P60" s="117"/>
      <c r="Q60" s="117"/>
      <c r="R60" s="117"/>
    </row>
    <row r="61" spans="2:20" ht="15">
      <c r="C61" s="47" t="s">
        <v>1374</v>
      </c>
      <c r="D61" s="48" t="s">
        <v>191</v>
      </c>
      <c r="E61" s="49"/>
      <c r="F61" s="52"/>
      <c r="G61" s="52"/>
      <c r="H61" s="52"/>
      <c r="I61" s="52"/>
      <c r="J61" s="52"/>
      <c r="K61" s="52"/>
      <c r="L61" s="52"/>
      <c r="M61" s="52"/>
      <c r="N61" s="52"/>
      <c r="O61" s="117"/>
      <c r="P61" s="117"/>
      <c r="Q61" s="117"/>
      <c r="R61" s="117"/>
    </row>
    <row r="62" spans="2:20" ht="15">
      <c r="C62" s="47" t="s">
        <v>1385</v>
      </c>
      <c r="D62" s="48" t="s">
        <v>1526</v>
      </c>
      <c r="E62" s="49"/>
      <c r="F62" s="52"/>
      <c r="G62" s="52"/>
      <c r="H62" s="52"/>
      <c r="I62" s="52"/>
      <c r="J62" s="52"/>
      <c r="K62" s="52"/>
      <c r="L62" s="52"/>
      <c r="M62" s="52"/>
      <c r="N62" s="52"/>
      <c r="O62" s="117"/>
      <c r="P62" s="117"/>
      <c r="Q62" s="117"/>
      <c r="R62" s="117"/>
    </row>
    <row r="63" spans="2:20" ht="15">
      <c r="C63" s="142" t="s">
        <v>1524</v>
      </c>
      <c r="D63" s="48" t="s">
        <v>1426</v>
      </c>
      <c r="E63" s="49"/>
      <c r="F63" s="52"/>
      <c r="G63" s="52"/>
      <c r="H63" s="52"/>
      <c r="I63" s="52"/>
      <c r="J63" s="52"/>
      <c r="K63" s="52"/>
      <c r="L63" s="52"/>
      <c r="M63" s="52"/>
      <c r="N63" s="52"/>
      <c r="O63" s="117"/>
      <c r="P63" s="117"/>
      <c r="Q63" s="117"/>
      <c r="R63" s="117"/>
    </row>
    <row r="64" spans="2:20" ht="15">
      <c r="C64" s="60" t="s">
        <v>1523</v>
      </c>
      <c r="D64" s="56" t="s">
        <v>195</v>
      </c>
      <c r="E64" s="57"/>
      <c r="F64" s="58"/>
      <c r="G64" s="58"/>
      <c r="H64" s="58"/>
      <c r="I64" s="58"/>
      <c r="J64" s="58"/>
      <c r="K64" s="58"/>
      <c r="L64" s="58"/>
      <c r="M64" s="58"/>
      <c r="N64" s="58"/>
      <c r="O64" s="117"/>
      <c r="P64" s="117"/>
      <c r="Q64" s="117"/>
      <c r="R64" s="117"/>
    </row>
    <row r="65" spans="3:14" ht="15"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</row>
  </sheetData>
  <mergeCells count="18">
    <mergeCell ref="D60:N60"/>
    <mergeCell ref="C5:C6"/>
    <mergeCell ref="D5:E6"/>
    <mergeCell ref="F5:G5"/>
    <mergeCell ref="M5:N5"/>
    <mergeCell ref="M6:N6"/>
    <mergeCell ref="C45:C46"/>
    <mergeCell ref="D45:E46"/>
    <mergeCell ref="D16:N16"/>
    <mergeCell ref="C24:C25"/>
    <mergeCell ref="D24:E25"/>
    <mergeCell ref="F24:G24"/>
    <mergeCell ref="M24:N24"/>
    <mergeCell ref="M25:N25"/>
    <mergeCell ref="F45:G45"/>
    <mergeCell ref="M45:N45"/>
    <mergeCell ref="M46:N46"/>
    <mergeCell ref="D37:N3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3">
    <tabColor rgb="FFFF0000"/>
  </sheetPr>
  <dimension ref="C3:P663"/>
  <sheetViews>
    <sheetView topLeftCell="C1" workbookViewId="0">
      <selection activeCell="I671" sqref="I671"/>
    </sheetView>
  </sheetViews>
  <sheetFormatPr defaultRowHeight="14.25"/>
  <cols>
    <col min="3" max="3" width="33.75" customWidth="1"/>
    <col min="4" max="4" width="23.5" customWidth="1"/>
    <col min="15" max="15" width="19.5" customWidth="1"/>
    <col min="16" max="16" width="23.375" customWidth="1"/>
  </cols>
  <sheetData>
    <row r="3" spans="3:16" ht="36.75">
      <c r="C3" s="121"/>
      <c r="D3" s="122"/>
      <c r="E3" s="123"/>
      <c r="F3" s="124"/>
      <c r="G3" s="125"/>
      <c r="H3" s="126"/>
      <c r="I3" s="126"/>
      <c r="J3" s="126"/>
      <c r="K3" s="126"/>
      <c r="L3" s="126"/>
      <c r="M3" s="126"/>
      <c r="N3" s="126"/>
      <c r="O3" s="126"/>
      <c r="P3" s="127" t="s">
        <v>1820</v>
      </c>
    </row>
    <row r="4" spans="3:16" ht="20.25">
      <c r="C4" s="121"/>
      <c r="D4" s="122"/>
      <c r="E4" s="123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9"/>
    </row>
    <row r="5" spans="3:16" ht="20.25">
      <c r="C5" s="121"/>
      <c r="D5" s="122"/>
      <c r="E5" s="123"/>
      <c r="F5" s="128"/>
      <c r="G5" s="128"/>
      <c r="H5" s="130"/>
      <c r="I5" s="130"/>
      <c r="J5" s="130"/>
      <c r="K5" s="130"/>
      <c r="L5" s="130"/>
      <c r="M5" s="130"/>
      <c r="N5" s="130"/>
      <c r="O5" s="130"/>
      <c r="P5" s="131"/>
    </row>
    <row r="6" spans="3:16" ht="20.25">
      <c r="C6" s="121"/>
      <c r="D6" s="122"/>
      <c r="E6" s="123"/>
      <c r="F6" s="128"/>
      <c r="G6" s="128"/>
      <c r="H6" s="130"/>
      <c r="I6" s="130"/>
      <c r="J6" s="130"/>
      <c r="K6" s="130"/>
      <c r="L6" s="130"/>
      <c r="M6" s="130"/>
      <c r="N6" s="130"/>
      <c r="O6" s="130"/>
      <c r="P6" s="131"/>
    </row>
    <row r="7" spans="3:16" ht="18">
      <c r="C7" s="117"/>
      <c r="D7" s="132"/>
      <c r="E7" s="132"/>
      <c r="F7" s="132"/>
      <c r="G7" s="132"/>
      <c r="H7" s="132"/>
      <c r="I7" s="132"/>
      <c r="J7" s="132"/>
      <c r="K7" s="132"/>
      <c r="L7" s="132"/>
      <c r="M7" s="144"/>
      <c r="N7" s="144"/>
      <c r="O7" s="132"/>
      <c r="P7" s="132"/>
    </row>
    <row r="8" spans="3:16" ht="25.5">
      <c r="C8" s="145"/>
      <c r="D8" s="113" t="s">
        <v>1821</v>
      </c>
      <c r="E8" s="62"/>
      <c r="F8" s="62"/>
      <c r="G8" s="62"/>
      <c r="H8" s="62"/>
      <c r="I8" s="62"/>
      <c r="J8" s="62"/>
      <c r="K8" s="17"/>
      <c r="L8" s="62"/>
      <c r="M8" s="29"/>
      <c r="N8" s="29"/>
      <c r="O8" s="62"/>
      <c r="P8" s="146"/>
    </row>
    <row r="9" spans="3:16" ht="23.25" thickBot="1">
      <c r="C9" s="7"/>
      <c r="D9" s="63"/>
      <c r="E9" s="63"/>
      <c r="F9" s="63"/>
      <c r="G9" s="63"/>
      <c r="H9" s="63"/>
      <c r="I9" s="63"/>
      <c r="J9" s="63"/>
      <c r="K9" s="1"/>
      <c r="L9" s="63"/>
      <c r="M9" s="1"/>
      <c r="N9" s="1"/>
      <c r="O9" s="63"/>
      <c r="P9" s="63"/>
    </row>
    <row r="10" spans="3:16" ht="15">
      <c r="C10" s="3"/>
      <c r="D10" s="253" t="s">
        <v>0</v>
      </c>
      <c r="E10" s="255" t="s">
        <v>1</v>
      </c>
      <c r="F10" s="253"/>
      <c r="G10" s="257" t="s">
        <v>2</v>
      </c>
      <c r="H10" s="258"/>
      <c r="I10" s="258"/>
      <c r="J10" s="18" t="s">
        <v>3</v>
      </c>
      <c r="K10" s="19" t="s">
        <v>4</v>
      </c>
      <c r="L10" s="322" t="s">
        <v>1822</v>
      </c>
      <c r="M10" s="267"/>
      <c r="N10" s="31" t="s">
        <v>935</v>
      </c>
      <c r="O10" s="259" t="s">
        <v>8</v>
      </c>
      <c r="P10" s="255"/>
    </row>
    <row r="11" spans="3:16" ht="15">
      <c r="C11" s="9"/>
      <c r="D11" s="254"/>
      <c r="E11" s="256"/>
      <c r="F11" s="254"/>
      <c r="G11" s="20" t="s">
        <v>9</v>
      </c>
      <c r="H11" s="33" t="s">
        <v>10</v>
      </c>
      <c r="I11" s="10" t="s">
        <v>854</v>
      </c>
      <c r="J11" s="21"/>
      <c r="K11" s="22"/>
      <c r="L11" s="323"/>
      <c r="M11" s="268"/>
      <c r="N11" s="33"/>
      <c r="O11" s="260" t="s">
        <v>11</v>
      </c>
      <c r="P11" s="261"/>
    </row>
    <row r="12" spans="3:16" ht="43.5" thickBot="1">
      <c r="C12" s="3"/>
      <c r="D12" s="11"/>
      <c r="E12" s="12" t="s">
        <v>12</v>
      </c>
      <c r="F12" s="11" t="s">
        <v>13</v>
      </c>
      <c r="G12" s="23" t="s">
        <v>14</v>
      </c>
      <c r="H12" s="133" t="s">
        <v>15</v>
      </c>
      <c r="I12" s="134" t="s">
        <v>15</v>
      </c>
      <c r="J12" s="25" t="s">
        <v>16</v>
      </c>
      <c r="K12" s="26" t="s">
        <v>17</v>
      </c>
      <c r="L12" s="26" t="s">
        <v>1823</v>
      </c>
      <c r="M12" s="147" t="s">
        <v>1824</v>
      </c>
      <c r="N12" s="148" t="s">
        <v>1825</v>
      </c>
      <c r="O12" s="37" t="s">
        <v>1826</v>
      </c>
      <c r="P12" s="149" t="s">
        <v>1827</v>
      </c>
    </row>
    <row r="13" spans="3:16" ht="15.75" thickBot="1">
      <c r="C13" s="2"/>
      <c r="D13" s="13" t="s">
        <v>1828</v>
      </c>
      <c r="E13" s="14">
        <v>45</v>
      </c>
      <c r="F13" s="15">
        <v>60</v>
      </c>
      <c r="G13" s="14">
        <v>165</v>
      </c>
      <c r="H13" s="28">
        <v>58</v>
      </c>
      <c r="I13" s="136">
        <v>66</v>
      </c>
      <c r="J13" s="27" t="s">
        <v>1829</v>
      </c>
      <c r="K13" s="28">
        <v>2970</v>
      </c>
      <c r="L13" s="28" t="s">
        <v>566</v>
      </c>
      <c r="M13" s="38" t="s">
        <v>1830</v>
      </c>
      <c r="N13" s="100" t="s">
        <v>1831</v>
      </c>
      <c r="O13" s="153" t="s">
        <v>1260</v>
      </c>
      <c r="P13" s="153" t="s">
        <v>1260</v>
      </c>
    </row>
    <row r="14" spans="3:16" ht="15.75" thickBot="1">
      <c r="C14" s="2"/>
      <c r="D14" s="13" t="s">
        <v>1832</v>
      </c>
      <c r="E14" s="14">
        <v>37</v>
      </c>
      <c r="F14" s="15">
        <v>50</v>
      </c>
      <c r="G14" s="14">
        <v>155</v>
      </c>
      <c r="H14" s="28">
        <v>51</v>
      </c>
      <c r="I14" s="136">
        <v>58</v>
      </c>
      <c r="J14" s="27" t="s">
        <v>1829</v>
      </c>
      <c r="K14" s="28">
        <v>2970</v>
      </c>
      <c r="L14" s="28" t="s">
        <v>566</v>
      </c>
      <c r="M14" s="38" t="s">
        <v>1830</v>
      </c>
      <c r="N14" s="100" t="s">
        <v>1831</v>
      </c>
      <c r="O14" s="153" t="s">
        <v>1260</v>
      </c>
      <c r="P14" s="153" t="s">
        <v>1260</v>
      </c>
    </row>
    <row r="15" spans="3:16" ht="15.75" thickBot="1">
      <c r="C15" s="2"/>
      <c r="D15" s="13" t="s">
        <v>1833</v>
      </c>
      <c r="E15" s="14">
        <v>30</v>
      </c>
      <c r="F15" s="15">
        <v>40</v>
      </c>
      <c r="G15" s="14">
        <v>145</v>
      </c>
      <c r="H15" s="28">
        <v>40</v>
      </c>
      <c r="I15" s="136">
        <v>45</v>
      </c>
      <c r="J15" s="27" t="s">
        <v>1829</v>
      </c>
      <c r="K15" s="28">
        <v>2970</v>
      </c>
      <c r="L15" s="28" t="s">
        <v>566</v>
      </c>
      <c r="M15" s="38" t="s">
        <v>1830</v>
      </c>
      <c r="N15" s="100" t="s">
        <v>1831</v>
      </c>
      <c r="O15" s="153" t="s">
        <v>1260</v>
      </c>
      <c r="P15" s="153" t="s">
        <v>1260</v>
      </c>
    </row>
    <row r="16" spans="3:16" ht="15.75" thickBot="1">
      <c r="C16" s="2"/>
      <c r="D16" s="13" t="s">
        <v>1834</v>
      </c>
      <c r="E16" s="14">
        <v>18.5</v>
      </c>
      <c r="F16" s="15">
        <v>25</v>
      </c>
      <c r="G16" s="14">
        <v>135</v>
      </c>
      <c r="H16" s="28">
        <v>27</v>
      </c>
      <c r="I16" s="136">
        <v>30</v>
      </c>
      <c r="J16" s="27" t="s">
        <v>1829</v>
      </c>
      <c r="K16" s="28">
        <v>2970</v>
      </c>
      <c r="L16" s="28" t="s">
        <v>566</v>
      </c>
      <c r="M16" s="38" t="s">
        <v>1830</v>
      </c>
      <c r="N16" s="100" t="s">
        <v>1831</v>
      </c>
      <c r="O16" s="153" t="s">
        <v>1260</v>
      </c>
      <c r="P16" s="153" t="s">
        <v>1260</v>
      </c>
    </row>
    <row r="17" spans="3:16" ht="15.75" thickBot="1">
      <c r="C17" s="2"/>
      <c r="D17" s="13" t="s">
        <v>1835</v>
      </c>
      <c r="E17" s="14">
        <v>37</v>
      </c>
      <c r="F17" s="15">
        <v>50</v>
      </c>
      <c r="G17" s="14">
        <v>140</v>
      </c>
      <c r="H17" s="28">
        <v>52</v>
      </c>
      <c r="I17" s="136">
        <v>60</v>
      </c>
      <c r="J17" s="27" t="s">
        <v>1829</v>
      </c>
      <c r="K17" s="28">
        <v>2970</v>
      </c>
      <c r="L17" s="28" t="s">
        <v>566</v>
      </c>
      <c r="M17" s="38" t="s">
        <v>1830</v>
      </c>
      <c r="N17" s="100" t="s">
        <v>1831</v>
      </c>
      <c r="O17" s="153" t="s">
        <v>1260</v>
      </c>
      <c r="P17" s="153" t="s">
        <v>1260</v>
      </c>
    </row>
    <row r="18" spans="3:16" ht="15.75" thickBot="1">
      <c r="C18" s="2"/>
      <c r="D18" s="13" t="s">
        <v>1836</v>
      </c>
      <c r="E18" s="14">
        <v>30</v>
      </c>
      <c r="F18" s="15">
        <v>40</v>
      </c>
      <c r="G18" s="14">
        <v>132</v>
      </c>
      <c r="H18" s="28">
        <v>46</v>
      </c>
      <c r="I18" s="136">
        <v>53</v>
      </c>
      <c r="J18" s="27" t="s">
        <v>1829</v>
      </c>
      <c r="K18" s="28">
        <v>2970</v>
      </c>
      <c r="L18" s="28" t="s">
        <v>566</v>
      </c>
      <c r="M18" s="38" t="s">
        <v>1830</v>
      </c>
      <c r="N18" s="100" t="s">
        <v>1831</v>
      </c>
      <c r="O18" s="153" t="s">
        <v>1260</v>
      </c>
      <c r="P18" s="153" t="s">
        <v>1260</v>
      </c>
    </row>
    <row r="19" spans="3:16" ht="15.75" thickBot="1">
      <c r="C19" s="2"/>
      <c r="D19" s="13" t="s">
        <v>1837</v>
      </c>
      <c r="E19" s="14">
        <v>22</v>
      </c>
      <c r="F19" s="15">
        <v>30</v>
      </c>
      <c r="G19" s="14">
        <v>123</v>
      </c>
      <c r="H19" s="28">
        <v>36</v>
      </c>
      <c r="I19" s="136">
        <v>41</v>
      </c>
      <c r="J19" s="27" t="s">
        <v>1829</v>
      </c>
      <c r="K19" s="28">
        <v>2970</v>
      </c>
      <c r="L19" s="28" t="s">
        <v>566</v>
      </c>
      <c r="M19" s="38" t="s">
        <v>1830</v>
      </c>
      <c r="N19" s="100" t="s">
        <v>1831</v>
      </c>
      <c r="O19" s="153" t="s">
        <v>1260</v>
      </c>
      <c r="P19" s="153" t="s">
        <v>1260</v>
      </c>
    </row>
    <row r="20" spans="3:16" ht="15.75" thickBot="1">
      <c r="C20" s="2"/>
      <c r="D20" s="13" t="s">
        <v>1838</v>
      </c>
      <c r="E20" s="14">
        <v>15</v>
      </c>
      <c r="F20" s="15">
        <v>20</v>
      </c>
      <c r="G20" s="14">
        <v>115</v>
      </c>
      <c r="H20" s="28">
        <v>24</v>
      </c>
      <c r="I20" s="136">
        <v>27</v>
      </c>
      <c r="J20" s="27" t="s">
        <v>1829</v>
      </c>
      <c r="K20" s="28">
        <v>2970</v>
      </c>
      <c r="L20" s="28" t="s">
        <v>566</v>
      </c>
      <c r="M20" s="38" t="s">
        <v>1830</v>
      </c>
      <c r="N20" s="100" t="s">
        <v>1831</v>
      </c>
      <c r="O20" s="153" t="s">
        <v>1260</v>
      </c>
      <c r="P20" s="153" t="s">
        <v>1260</v>
      </c>
    </row>
    <row r="21" spans="3:16" ht="15.75" thickBot="1">
      <c r="C21" s="2"/>
      <c r="D21" s="13" t="s">
        <v>1839</v>
      </c>
      <c r="E21" s="14">
        <v>110</v>
      </c>
      <c r="F21" s="15">
        <v>150</v>
      </c>
      <c r="G21" s="14">
        <v>235</v>
      </c>
      <c r="H21" s="28">
        <v>100</v>
      </c>
      <c r="I21" s="136">
        <v>111</v>
      </c>
      <c r="J21" s="27" t="s">
        <v>1829</v>
      </c>
      <c r="K21" s="28">
        <v>2970</v>
      </c>
      <c r="L21" s="28" t="s">
        <v>566</v>
      </c>
      <c r="M21" s="38" t="s">
        <v>1830</v>
      </c>
      <c r="N21" s="100" t="s">
        <v>1831</v>
      </c>
      <c r="O21" s="153" t="s">
        <v>1260</v>
      </c>
      <c r="P21" s="153" t="s">
        <v>1260</v>
      </c>
    </row>
    <row r="22" spans="3:16" ht="15.75" thickBot="1">
      <c r="C22" s="16"/>
      <c r="D22" s="13" t="s">
        <v>1840</v>
      </c>
      <c r="E22" s="14">
        <v>90</v>
      </c>
      <c r="F22" s="15">
        <v>125</v>
      </c>
      <c r="G22" s="14">
        <v>221</v>
      </c>
      <c r="H22" s="28">
        <v>88</v>
      </c>
      <c r="I22" s="136">
        <v>98</v>
      </c>
      <c r="J22" s="27" t="s">
        <v>1829</v>
      </c>
      <c r="K22" s="28">
        <v>2970</v>
      </c>
      <c r="L22" s="28" t="s">
        <v>566</v>
      </c>
      <c r="M22" s="38" t="s">
        <v>1830</v>
      </c>
      <c r="N22" s="100" t="s">
        <v>1831</v>
      </c>
      <c r="O22" s="153" t="s">
        <v>1260</v>
      </c>
      <c r="P22" s="153" t="s">
        <v>1260</v>
      </c>
    </row>
    <row r="23" spans="3:16" ht="15.75" thickBot="1">
      <c r="C23" s="16"/>
      <c r="D23" s="13" t="s">
        <v>1841</v>
      </c>
      <c r="E23" s="14">
        <v>75</v>
      </c>
      <c r="F23" s="15">
        <v>100</v>
      </c>
      <c r="G23" s="14">
        <v>204</v>
      </c>
      <c r="H23" s="28">
        <v>67</v>
      </c>
      <c r="I23" s="136">
        <v>74</v>
      </c>
      <c r="J23" s="27" t="s">
        <v>1829</v>
      </c>
      <c r="K23" s="28">
        <v>2970</v>
      </c>
      <c r="L23" s="28" t="s">
        <v>566</v>
      </c>
      <c r="M23" s="38" t="s">
        <v>1830</v>
      </c>
      <c r="N23" s="100" t="s">
        <v>1831</v>
      </c>
      <c r="O23" s="153" t="s">
        <v>1260</v>
      </c>
      <c r="P23" s="153" t="s">
        <v>1260</v>
      </c>
    </row>
    <row r="24" spans="3:16" ht="15.75" thickBot="1">
      <c r="C24" s="2"/>
      <c r="D24" s="13" t="s">
        <v>1842</v>
      </c>
      <c r="E24" s="14">
        <v>37</v>
      </c>
      <c r="F24" s="15">
        <v>50</v>
      </c>
      <c r="G24" s="14">
        <v>188</v>
      </c>
      <c r="H24" s="28">
        <v>43</v>
      </c>
      <c r="I24" s="136">
        <v>48</v>
      </c>
      <c r="J24" s="27" t="s">
        <v>1829</v>
      </c>
      <c r="K24" s="28">
        <v>2970</v>
      </c>
      <c r="L24" s="28" t="s">
        <v>566</v>
      </c>
      <c r="M24" s="38" t="s">
        <v>1830</v>
      </c>
      <c r="N24" s="100" t="s">
        <v>1831</v>
      </c>
      <c r="O24" s="153" t="s">
        <v>1260</v>
      </c>
      <c r="P24" s="153" t="s">
        <v>1260</v>
      </c>
    </row>
    <row r="25" spans="3:16" ht="15.75" thickBot="1">
      <c r="C25" s="2"/>
      <c r="D25" s="13" t="s">
        <v>1843</v>
      </c>
      <c r="E25" s="14">
        <v>90</v>
      </c>
      <c r="F25" s="15">
        <v>125</v>
      </c>
      <c r="G25" s="14">
        <v>200</v>
      </c>
      <c r="H25" s="28">
        <v>90</v>
      </c>
      <c r="I25" s="136">
        <v>100</v>
      </c>
      <c r="J25" s="27" t="s">
        <v>1829</v>
      </c>
      <c r="K25" s="28">
        <v>2970</v>
      </c>
      <c r="L25" s="28" t="s">
        <v>566</v>
      </c>
      <c r="M25" s="38" t="s">
        <v>1830</v>
      </c>
      <c r="N25" s="100" t="s">
        <v>1831</v>
      </c>
      <c r="O25" s="153" t="s">
        <v>1260</v>
      </c>
      <c r="P25" s="153" t="s">
        <v>1260</v>
      </c>
    </row>
    <row r="26" spans="3:16" ht="15.75" thickBot="1">
      <c r="C26" s="2"/>
      <c r="D26" s="13" t="s">
        <v>1844</v>
      </c>
      <c r="E26" s="14">
        <v>75</v>
      </c>
      <c r="F26" s="15">
        <v>100</v>
      </c>
      <c r="G26" s="14">
        <v>188</v>
      </c>
      <c r="H26" s="28">
        <v>80</v>
      </c>
      <c r="I26" s="136">
        <v>88</v>
      </c>
      <c r="J26" s="27" t="s">
        <v>1829</v>
      </c>
      <c r="K26" s="28">
        <v>2970</v>
      </c>
      <c r="L26" s="28" t="s">
        <v>566</v>
      </c>
      <c r="M26" s="38" t="s">
        <v>1830</v>
      </c>
      <c r="N26" s="100" t="s">
        <v>1831</v>
      </c>
      <c r="O26" s="153" t="s">
        <v>1260</v>
      </c>
      <c r="P26" s="153" t="s">
        <v>1260</v>
      </c>
    </row>
    <row r="27" spans="3:16" ht="15.75" thickBot="1">
      <c r="C27" s="2"/>
      <c r="D27" s="13" t="s">
        <v>1845</v>
      </c>
      <c r="E27" s="14">
        <v>55</v>
      </c>
      <c r="F27" s="15">
        <v>75</v>
      </c>
      <c r="G27" s="14">
        <v>174</v>
      </c>
      <c r="H27" s="28">
        <v>60</v>
      </c>
      <c r="I27" s="136">
        <v>67</v>
      </c>
      <c r="J27" s="27" t="s">
        <v>1829</v>
      </c>
      <c r="K27" s="28">
        <v>2970</v>
      </c>
      <c r="L27" s="28" t="s">
        <v>566</v>
      </c>
      <c r="M27" s="38" t="s">
        <v>1830</v>
      </c>
      <c r="N27" s="100" t="s">
        <v>1831</v>
      </c>
      <c r="O27" s="153" t="s">
        <v>1260</v>
      </c>
      <c r="P27" s="153" t="s">
        <v>1260</v>
      </c>
    </row>
    <row r="28" spans="3:16" ht="15.75" thickBot="1">
      <c r="C28" s="2"/>
      <c r="D28" s="13" t="s">
        <v>1846</v>
      </c>
      <c r="E28" s="14">
        <v>30</v>
      </c>
      <c r="F28" s="15">
        <v>40</v>
      </c>
      <c r="G28" s="14">
        <v>160</v>
      </c>
      <c r="H28" s="28">
        <v>39</v>
      </c>
      <c r="I28" s="136">
        <v>43</v>
      </c>
      <c r="J28" s="27" t="s">
        <v>1829</v>
      </c>
      <c r="K28" s="28">
        <v>2970</v>
      </c>
      <c r="L28" s="28" t="s">
        <v>566</v>
      </c>
      <c r="M28" s="38" t="s">
        <v>1830</v>
      </c>
      <c r="N28" s="100" t="s">
        <v>1831</v>
      </c>
      <c r="O28" s="153" t="s">
        <v>1260</v>
      </c>
      <c r="P28" s="153" t="s">
        <v>1260</v>
      </c>
    </row>
    <row r="29" spans="3:16" ht="15.75" thickBot="1">
      <c r="C29" s="2"/>
      <c r="D29" s="13" t="s">
        <v>1847</v>
      </c>
      <c r="E29" s="14">
        <v>15</v>
      </c>
      <c r="F29" s="15">
        <v>20</v>
      </c>
      <c r="G29" s="14">
        <v>117</v>
      </c>
      <c r="H29" s="28">
        <v>25</v>
      </c>
      <c r="I29" s="136">
        <v>28</v>
      </c>
      <c r="J29" s="27" t="s">
        <v>1829</v>
      </c>
      <c r="K29" s="28">
        <v>1480</v>
      </c>
      <c r="L29" s="28" t="s">
        <v>566</v>
      </c>
      <c r="M29" s="38" t="s">
        <v>1830</v>
      </c>
      <c r="N29" s="100" t="s">
        <v>1831</v>
      </c>
      <c r="O29" s="153" t="s">
        <v>1260</v>
      </c>
      <c r="P29" s="153" t="s">
        <v>1260</v>
      </c>
    </row>
    <row r="30" spans="3:16" ht="15.75" thickBot="1">
      <c r="C30" s="2"/>
      <c r="D30" s="13" t="s">
        <v>1848</v>
      </c>
      <c r="E30" s="14">
        <v>11</v>
      </c>
      <c r="F30" s="15">
        <v>15</v>
      </c>
      <c r="G30" s="14">
        <v>110</v>
      </c>
      <c r="H30" s="28">
        <v>22</v>
      </c>
      <c r="I30" s="136">
        <v>24</v>
      </c>
      <c r="J30" s="27" t="s">
        <v>1829</v>
      </c>
      <c r="K30" s="28">
        <v>1480</v>
      </c>
      <c r="L30" s="28" t="s">
        <v>566</v>
      </c>
      <c r="M30" s="38" t="s">
        <v>1830</v>
      </c>
      <c r="N30" s="100" t="s">
        <v>1831</v>
      </c>
      <c r="O30" s="153" t="s">
        <v>1260</v>
      </c>
      <c r="P30" s="153" t="s">
        <v>1260</v>
      </c>
    </row>
    <row r="31" spans="3:16" ht="15.75" thickBot="1">
      <c r="C31" s="16"/>
      <c r="D31" s="13" t="s">
        <v>1849</v>
      </c>
      <c r="E31" s="14">
        <v>7.5</v>
      </c>
      <c r="F31" s="15">
        <v>10</v>
      </c>
      <c r="G31" s="14">
        <v>102</v>
      </c>
      <c r="H31" s="28">
        <v>17</v>
      </c>
      <c r="I31" s="136">
        <v>18</v>
      </c>
      <c r="J31" s="27" t="s">
        <v>1829</v>
      </c>
      <c r="K31" s="28">
        <v>1480</v>
      </c>
      <c r="L31" s="28" t="s">
        <v>566</v>
      </c>
      <c r="M31" s="38" t="s">
        <v>1830</v>
      </c>
      <c r="N31" s="100" t="s">
        <v>1831</v>
      </c>
      <c r="O31" s="153" t="s">
        <v>1260</v>
      </c>
      <c r="P31" s="153" t="s">
        <v>1260</v>
      </c>
    </row>
    <row r="32" spans="3:16" ht="15.75" thickBot="1">
      <c r="C32" s="2"/>
      <c r="D32" s="13" t="s">
        <v>1850</v>
      </c>
      <c r="E32" s="14">
        <v>5.5</v>
      </c>
      <c r="F32" s="15">
        <v>7.5</v>
      </c>
      <c r="G32" s="14">
        <v>94</v>
      </c>
      <c r="H32" s="28">
        <v>11</v>
      </c>
      <c r="I32" s="136">
        <v>12</v>
      </c>
      <c r="J32" s="27" t="s">
        <v>1829</v>
      </c>
      <c r="K32" s="28">
        <v>1480</v>
      </c>
      <c r="L32" s="28" t="s">
        <v>566</v>
      </c>
      <c r="M32" s="38" t="s">
        <v>1830</v>
      </c>
      <c r="N32" s="100" t="s">
        <v>1831</v>
      </c>
      <c r="O32" s="153" t="s">
        <v>1260</v>
      </c>
      <c r="P32" s="153" t="s">
        <v>1260</v>
      </c>
    </row>
    <row r="33" spans="3:16" ht="15.75" thickBot="1">
      <c r="C33" s="16"/>
      <c r="D33" s="13" t="s">
        <v>1851</v>
      </c>
      <c r="E33" s="14">
        <v>11</v>
      </c>
      <c r="F33" s="15">
        <v>15</v>
      </c>
      <c r="G33" s="14">
        <v>100</v>
      </c>
      <c r="H33" s="28">
        <v>22</v>
      </c>
      <c r="I33" s="136">
        <v>25</v>
      </c>
      <c r="J33" s="27" t="s">
        <v>1829</v>
      </c>
      <c r="K33" s="28">
        <v>1480</v>
      </c>
      <c r="L33" s="28" t="s">
        <v>566</v>
      </c>
      <c r="M33" s="38" t="s">
        <v>1830</v>
      </c>
      <c r="N33" s="100" t="s">
        <v>1831</v>
      </c>
      <c r="O33" s="153" t="s">
        <v>1260</v>
      </c>
      <c r="P33" s="153" t="s">
        <v>1260</v>
      </c>
    </row>
    <row r="34" spans="3:16" ht="15.75" thickBot="1">
      <c r="C34" s="2"/>
      <c r="D34" s="13" t="s">
        <v>1852</v>
      </c>
      <c r="E34" s="14">
        <v>11</v>
      </c>
      <c r="F34" s="15">
        <v>15</v>
      </c>
      <c r="G34" s="14">
        <v>94</v>
      </c>
      <c r="H34" s="28">
        <v>20</v>
      </c>
      <c r="I34" s="136">
        <v>22</v>
      </c>
      <c r="J34" s="27" t="s">
        <v>1829</v>
      </c>
      <c r="K34" s="28">
        <v>1480</v>
      </c>
      <c r="L34" s="28" t="s">
        <v>566</v>
      </c>
      <c r="M34" s="38" t="s">
        <v>1830</v>
      </c>
      <c r="N34" s="100" t="s">
        <v>1831</v>
      </c>
      <c r="O34" s="153" t="s">
        <v>1260</v>
      </c>
      <c r="P34" s="153" t="s">
        <v>1260</v>
      </c>
    </row>
    <row r="35" spans="3:16" ht="15.75" thickBot="1">
      <c r="C35" s="2"/>
      <c r="D35" s="13" t="s">
        <v>1853</v>
      </c>
      <c r="E35" s="14">
        <v>7.5</v>
      </c>
      <c r="F35" s="15">
        <v>10</v>
      </c>
      <c r="G35" s="14">
        <v>87</v>
      </c>
      <c r="H35" s="28">
        <v>15</v>
      </c>
      <c r="I35" s="136">
        <v>17</v>
      </c>
      <c r="J35" s="27" t="s">
        <v>1829</v>
      </c>
      <c r="K35" s="28">
        <v>1480</v>
      </c>
      <c r="L35" s="28" t="s">
        <v>566</v>
      </c>
      <c r="M35" s="38" t="s">
        <v>1830</v>
      </c>
      <c r="N35" s="100" t="s">
        <v>1831</v>
      </c>
      <c r="O35" s="153" t="s">
        <v>1260</v>
      </c>
      <c r="P35" s="153" t="s">
        <v>1260</v>
      </c>
    </row>
    <row r="36" spans="3:16" ht="15.75" thickBot="1">
      <c r="C36" s="2"/>
      <c r="D36" s="13" t="s">
        <v>1854</v>
      </c>
      <c r="E36" s="14">
        <v>4</v>
      </c>
      <c r="F36" s="15">
        <v>5.5</v>
      </c>
      <c r="G36" s="14">
        <v>80</v>
      </c>
      <c r="H36" s="28">
        <v>10</v>
      </c>
      <c r="I36" s="136">
        <v>11</v>
      </c>
      <c r="J36" s="27" t="s">
        <v>1829</v>
      </c>
      <c r="K36" s="28">
        <v>1480</v>
      </c>
      <c r="L36" s="28" t="s">
        <v>566</v>
      </c>
      <c r="M36" s="38" t="s">
        <v>1830</v>
      </c>
      <c r="N36" s="100" t="s">
        <v>1831</v>
      </c>
      <c r="O36" s="153" t="s">
        <v>1260</v>
      </c>
      <c r="P36" s="153" t="s">
        <v>1260</v>
      </c>
    </row>
    <row r="37" spans="3:16" ht="15.75" thickBot="1">
      <c r="C37" s="2"/>
      <c r="D37" s="13" t="s">
        <v>1855</v>
      </c>
      <c r="E37" s="14">
        <v>110</v>
      </c>
      <c r="F37" s="15">
        <v>150</v>
      </c>
      <c r="G37" s="14">
        <v>160</v>
      </c>
      <c r="H37" s="28">
        <v>130</v>
      </c>
      <c r="I37" s="136">
        <v>140</v>
      </c>
      <c r="J37" s="27" t="s">
        <v>1829</v>
      </c>
      <c r="K37" s="28">
        <v>2970</v>
      </c>
      <c r="L37" s="28" t="s">
        <v>566</v>
      </c>
      <c r="M37" s="38" t="s">
        <v>1856</v>
      </c>
      <c r="N37" s="100" t="s">
        <v>1831</v>
      </c>
      <c r="O37" s="153" t="s">
        <v>1260</v>
      </c>
      <c r="P37" s="153" t="s">
        <v>1260</v>
      </c>
    </row>
    <row r="38" spans="3:16" ht="15.75" thickBot="1">
      <c r="C38" s="2"/>
      <c r="D38" s="13" t="s">
        <v>1857</v>
      </c>
      <c r="E38" s="14">
        <v>90</v>
      </c>
      <c r="F38" s="15">
        <v>125</v>
      </c>
      <c r="G38" s="14">
        <v>150</v>
      </c>
      <c r="H38" s="28">
        <v>115</v>
      </c>
      <c r="I38" s="136">
        <v>124</v>
      </c>
      <c r="J38" s="27" t="s">
        <v>1829</v>
      </c>
      <c r="K38" s="28">
        <v>2970</v>
      </c>
      <c r="L38" s="28" t="s">
        <v>566</v>
      </c>
      <c r="M38" s="38" t="s">
        <v>1856</v>
      </c>
      <c r="N38" s="100" t="s">
        <v>1831</v>
      </c>
      <c r="O38" s="153" t="s">
        <v>1260</v>
      </c>
      <c r="P38" s="153" t="s">
        <v>1260</v>
      </c>
    </row>
    <row r="39" spans="3:16" ht="15.75" thickBot="1">
      <c r="C39" s="2"/>
      <c r="D39" s="13" t="s">
        <v>1858</v>
      </c>
      <c r="E39" s="14">
        <v>75</v>
      </c>
      <c r="F39" s="15">
        <v>100</v>
      </c>
      <c r="G39" s="14">
        <v>139</v>
      </c>
      <c r="H39" s="28">
        <v>87</v>
      </c>
      <c r="I39" s="136">
        <v>94</v>
      </c>
      <c r="J39" s="27" t="s">
        <v>1829</v>
      </c>
      <c r="K39" s="28">
        <v>2970</v>
      </c>
      <c r="L39" s="28" t="s">
        <v>566</v>
      </c>
      <c r="M39" s="38" t="s">
        <v>1856</v>
      </c>
      <c r="N39" s="100" t="s">
        <v>1831</v>
      </c>
      <c r="O39" s="153" t="s">
        <v>1260</v>
      </c>
      <c r="P39" s="153" t="s">
        <v>1260</v>
      </c>
    </row>
    <row r="40" spans="3:16" ht="15.75" thickBot="1">
      <c r="C40" s="2"/>
      <c r="D40" s="13" t="s">
        <v>1859</v>
      </c>
      <c r="E40" s="14">
        <v>45</v>
      </c>
      <c r="F40" s="15">
        <v>60</v>
      </c>
      <c r="G40" s="14">
        <v>128</v>
      </c>
      <c r="H40" s="28">
        <v>56</v>
      </c>
      <c r="I40" s="136">
        <v>60</v>
      </c>
      <c r="J40" s="27" t="s">
        <v>1829</v>
      </c>
      <c r="K40" s="28">
        <v>2970</v>
      </c>
      <c r="L40" s="28" t="s">
        <v>566</v>
      </c>
      <c r="M40" s="38" t="s">
        <v>1856</v>
      </c>
      <c r="N40" s="100" t="s">
        <v>1831</v>
      </c>
      <c r="O40" s="153" t="s">
        <v>1260</v>
      </c>
      <c r="P40" s="153" t="s">
        <v>1260</v>
      </c>
    </row>
    <row r="41" spans="3:16" ht="15.75" thickBot="1">
      <c r="C41" s="2"/>
      <c r="D41" s="13" t="s">
        <v>1860</v>
      </c>
      <c r="E41" s="14">
        <v>90</v>
      </c>
      <c r="F41" s="15">
        <v>125</v>
      </c>
      <c r="G41" s="14">
        <v>135</v>
      </c>
      <c r="H41" s="28">
        <v>116</v>
      </c>
      <c r="I41" s="136">
        <v>124</v>
      </c>
      <c r="J41" s="27" t="s">
        <v>1829</v>
      </c>
      <c r="K41" s="28">
        <v>2970</v>
      </c>
      <c r="L41" s="28" t="s">
        <v>566</v>
      </c>
      <c r="M41" s="38" t="s">
        <v>1856</v>
      </c>
      <c r="N41" s="100" t="s">
        <v>1831</v>
      </c>
      <c r="O41" s="153" t="s">
        <v>1260</v>
      </c>
      <c r="P41" s="153" t="s">
        <v>1260</v>
      </c>
    </row>
    <row r="42" spans="3:16" ht="15.75" thickBot="1">
      <c r="C42" s="16"/>
      <c r="D42" s="13" t="s">
        <v>1861</v>
      </c>
      <c r="E42" s="14">
        <v>75</v>
      </c>
      <c r="F42" s="15">
        <v>100</v>
      </c>
      <c r="G42" s="14">
        <v>127</v>
      </c>
      <c r="H42" s="28">
        <v>102</v>
      </c>
      <c r="I42" s="136">
        <v>110</v>
      </c>
      <c r="J42" s="27" t="s">
        <v>1829</v>
      </c>
      <c r="K42" s="28">
        <v>2970</v>
      </c>
      <c r="L42" s="28" t="s">
        <v>566</v>
      </c>
      <c r="M42" s="38" t="s">
        <v>1856</v>
      </c>
      <c r="N42" s="100" t="s">
        <v>1831</v>
      </c>
      <c r="O42" s="153" t="s">
        <v>1260</v>
      </c>
      <c r="P42" s="153" t="s">
        <v>1260</v>
      </c>
    </row>
    <row r="43" spans="3:16" ht="15.75" thickBot="1">
      <c r="C43" s="2"/>
      <c r="D43" s="13" t="s">
        <v>1862</v>
      </c>
      <c r="E43" s="14">
        <v>55</v>
      </c>
      <c r="F43" s="15">
        <v>75</v>
      </c>
      <c r="G43" s="14">
        <v>117</v>
      </c>
      <c r="H43" s="28">
        <v>78</v>
      </c>
      <c r="I43" s="136">
        <v>83</v>
      </c>
      <c r="J43" s="27" t="s">
        <v>1829</v>
      </c>
      <c r="K43" s="28">
        <v>2970</v>
      </c>
      <c r="L43" s="28" t="s">
        <v>566</v>
      </c>
      <c r="M43" s="38" t="s">
        <v>1856</v>
      </c>
      <c r="N43" s="100" t="s">
        <v>1831</v>
      </c>
      <c r="O43" s="153" t="s">
        <v>1260</v>
      </c>
      <c r="P43" s="153" t="s">
        <v>1260</v>
      </c>
    </row>
    <row r="44" spans="3:16" ht="15.75" thickBot="1">
      <c r="C44" s="2"/>
      <c r="D44" s="13" t="s">
        <v>1863</v>
      </c>
      <c r="E44" s="14">
        <v>30</v>
      </c>
      <c r="F44" s="15">
        <v>40</v>
      </c>
      <c r="G44" s="14">
        <v>108</v>
      </c>
      <c r="H44" s="28">
        <v>50</v>
      </c>
      <c r="I44" s="136">
        <v>53</v>
      </c>
      <c r="J44" s="27" t="s">
        <v>1829</v>
      </c>
      <c r="K44" s="28">
        <v>2970</v>
      </c>
      <c r="L44" s="28" t="s">
        <v>566</v>
      </c>
      <c r="M44" s="38" t="s">
        <v>1856</v>
      </c>
      <c r="N44" s="100" t="s">
        <v>1831</v>
      </c>
      <c r="O44" s="153" t="s">
        <v>1260</v>
      </c>
      <c r="P44" s="153" t="s">
        <v>1260</v>
      </c>
    </row>
    <row r="45" spans="3:16" ht="15.75" thickBot="1">
      <c r="C45" s="2"/>
      <c r="D45" s="13" t="s">
        <v>1864</v>
      </c>
      <c r="E45" s="14">
        <v>22</v>
      </c>
      <c r="F45" s="15">
        <v>30</v>
      </c>
      <c r="G45" s="14">
        <v>110</v>
      </c>
      <c r="H45" s="28">
        <v>40</v>
      </c>
      <c r="I45" s="136">
        <v>44</v>
      </c>
      <c r="J45" s="27" t="s">
        <v>1829</v>
      </c>
      <c r="K45" s="28">
        <v>1480</v>
      </c>
      <c r="L45" s="28" t="s">
        <v>566</v>
      </c>
      <c r="M45" s="38" t="s">
        <v>1830</v>
      </c>
      <c r="N45" s="100" t="s">
        <v>1831</v>
      </c>
      <c r="O45" s="153" t="s">
        <v>1260</v>
      </c>
      <c r="P45" s="153" t="s">
        <v>1260</v>
      </c>
    </row>
    <row r="46" spans="3:16" ht="15.75" thickBot="1">
      <c r="C46" s="2"/>
      <c r="D46" s="13" t="s">
        <v>1865</v>
      </c>
      <c r="E46" s="14">
        <v>18.5</v>
      </c>
      <c r="F46" s="15">
        <v>25</v>
      </c>
      <c r="G46" s="14">
        <v>103</v>
      </c>
      <c r="H46" s="28">
        <v>35</v>
      </c>
      <c r="I46" s="136">
        <v>39</v>
      </c>
      <c r="J46" s="27" t="s">
        <v>1829</v>
      </c>
      <c r="K46" s="28">
        <v>1480</v>
      </c>
      <c r="L46" s="28" t="s">
        <v>566</v>
      </c>
      <c r="M46" s="38" t="s">
        <v>1830</v>
      </c>
      <c r="N46" s="100" t="s">
        <v>1831</v>
      </c>
      <c r="O46" s="153" t="s">
        <v>1260</v>
      </c>
      <c r="P46" s="153" t="s">
        <v>1260</v>
      </c>
    </row>
    <row r="47" spans="3:16" ht="15.75" thickBot="1">
      <c r="C47" s="2"/>
      <c r="D47" s="13" t="s">
        <v>1866</v>
      </c>
      <c r="E47" s="14">
        <v>15</v>
      </c>
      <c r="F47" s="15">
        <v>20</v>
      </c>
      <c r="G47" s="14">
        <v>96</v>
      </c>
      <c r="H47" s="28">
        <v>27</v>
      </c>
      <c r="I47" s="136">
        <v>29</v>
      </c>
      <c r="J47" s="27" t="s">
        <v>1829</v>
      </c>
      <c r="K47" s="28">
        <v>1480</v>
      </c>
      <c r="L47" s="28" t="s">
        <v>566</v>
      </c>
      <c r="M47" s="38" t="s">
        <v>1830</v>
      </c>
      <c r="N47" s="100" t="s">
        <v>1831</v>
      </c>
      <c r="O47" s="153" t="s">
        <v>1260</v>
      </c>
      <c r="P47" s="153" t="s">
        <v>1260</v>
      </c>
    </row>
    <row r="48" spans="3:16" ht="15.75" thickBot="1">
      <c r="C48" s="2"/>
      <c r="D48" s="13" t="s">
        <v>1867</v>
      </c>
      <c r="E48" s="14">
        <v>7.5</v>
      </c>
      <c r="F48" s="15">
        <v>10</v>
      </c>
      <c r="G48" s="14">
        <v>88</v>
      </c>
      <c r="H48" s="28">
        <v>17</v>
      </c>
      <c r="I48" s="136">
        <v>19</v>
      </c>
      <c r="J48" s="27" t="s">
        <v>1829</v>
      </c>
      <c r="K48" s="28">
        <v>1480</v>
      </c>
      <c r="L48" s="28" t="s">
        <v>566</v>
      </c>
      <c r="M48" s="38" t="s">
        <v>1830</v>
      </c>
      <c r="N48" s="100" t="s">
        <v>1831</v>
      </c>
      <c r="O48" s="153" t="s">
        <v>1260</v>
      </c>
      <c r="P48" s="153" t="s">
        <v>1260</v>
      </c>
    </row>
    <row r="49" spans="3:16" ht="15.75" thickBot="1">
      <c r="C49" s="2"/>
      <c r="D49" s="13" t="s">
        <v>1868</v>
      </c>
      <c r="E49" s="14">
        <v>18.5</v>
      </c>
      <c r="F49" s="15">
        <v>25</v>
      </c>
      <c r="G49" s="14">
        <v>95</v>
      </c>
      <c r="H49" s="28">
        <v>36</v>
      </c>
      <c r="I49" s="136">
        <v>40</v>
      </c>
      <c r="J49" s="27" t="s">
        <v>1829</v>
      </c>
      <c r="K49" s="28">
        <v>1480</v>
      </c>
      <c r="L49" s="28" t="s">
        <v>566</v>
      </c>
      <c r="M49" s="38" t="s">
        <v>1830</v>
      </c>
      <c r="N49" s="100" t="s">
        <v>1831</v>
      </c>
      <c r="O49" s="153" t="s">
        <v>1260</v>
      </c>
      <c r="P49" s="153" t="s">
        <v>1260</v>
      </c>
    </row>
    <row r="50" spans="3:16" ht="15.75" thickBot="1">
      <c r="C50" s="2"/>
      <c r="D50" s="13" t="s">
        <v>1869</v>
      </c>
      <c r="E50" s="14">
        <v>15</v>
      </c>
      <c r="F50" s="15">
        <v>20</v>
      </c>
      <c r="G50" s="14">
        <v>89</v>
      </c>
      <c r="H50" s="28">
        <v>32</v>
      </c>
      <c r="I50" s="136">
        <v>35</v>
      </c>
      <c r="J50" s="27" t="s">
        <v>1829</v>
      </c>
      <c r="K50" s="28">
        <v>1480</v>
      </c>
      <c r="L50" s="28" t="s">
        <v>566</v>
      </c>
      <c r="M50" s="38" t="s">
        <v>1830</v>
      </c>
      <c r="N50" s="100" t="s">
        <v>1831</v>
      </c>
      <c r="O50" s="153" t="s">
        <v>1260</v>
      </c>
      <c r="P50" s="153" t="s">
        <v>1260</v>
      </c>
    </row>
    <row r="51" spans="3:16" ht="15.75" thickBot="1">
      <c r="C51" s="2"/>
      <c r="D51" s="13" t="s">
        <v>1870</v>
      </c>
      <c r="E51" s="14">
        <v>11</v>
      </c>
      <c r="F51" s="15">
        <v>15</v>
      </c>
      <c r="G51" s="14">
        <v>83</v>
      </c>
      <c r="H51" s="28">
        <v>24</v>
      </c>
      <c r="I51" s="136">
        <v>27</v>
      </c>
      <c r="J51" s="27" t="s">
        <v>1829</v>
      </c>
      <c r="K51" s="28">
        <v>1480</v>
      </c>
      <c r="L51" s="28" t="s">
        <v>566</v>
      </c>
      <c r="M51" s="38" t="s">
        <v>1830</v>
      </c>
      <c r="N51" s="100" t="s">
        <v>1831</v>
      </c>
      <c r="O51" s="153" t="s">
        <v>1260</v>
      </c>
      <c r="P51" s="153" t="s">
        <v>1260</v>
      </c>
    </row>
    <row r="52" spans="3:16" ht="15.75" thickBot="1">
      <c r="C52" s="2"/>
      <c r="D52" s="13" t="s">
        <v>1871</v>
      </c>
      <c r="E52" s="14">
        <v>7.5</v>
      </c>
      <c r="F52" s="15">
        <v>10</v>
      </c>
      <c r="G52" s="14">
        <v>76</v>
      </c>
      <c r="H52" s="28">
        <v>15</v>
      </c>
      <c r="I52" s="136">
        <v>17</v>
      </c>
      <c r="J52" s="27" t="s">
        <v>1829</v>
      </c>
      <c r="K52" s="28">
        <v>1480</v>
      </c>
      <c r="L52" s="28" t="s">
        <v>566</v>
      </c>
      <c r="M52" s="38" t="s">
        <v>1830</v>
      </c>
      <c r="N52" s="100" t="s">
        <v>1831</v>
      </c>
      <c r="O52" s="153" t="s">
        <v>1260</v>
      </c>
      <c r="P52" s="153" t="s">
        <v>1260</v>
      </c>
    </row>
    <row r="53" spans="3:16" ht="15.75" thickBot="1">
      <c r="C53" s="2"/>
      <c r="D53" s="13" t="s">
        <v>1872</v>
      </c>
      <c r="E53" s="14">
        <v>18.5</v>
      </c>
      <c r="F53" s="15">
        <v>25</v>
      </c>
      <c r="G53" s="14">
        <v>160</v>
      </c>
      <c r="H53" s="28">
        <v>28</v>
      </c>
      <c r="I53" s="136">
        <v>31</v>
      </c>
      <c r="J53" s="27" t="s">
        <v>713</v>
      </c>
      <c r="K53" s="28">
        <v>2970</v>
      </c>
      <c r="L53" s="28" t="s">
        <v>566</v>
      </c>
      <c r="M53" s="38" t="s">
        <v>1830</v>
      </c>
      <c r="N53" s="100" t="s">
        <v>1831</v>
      </c>
      <c r="O53" s="153" t="s">
        <v>1260</v>
      </c>
      <c r="P53" s="153" t="s">
        <v>1260</v>
      </c>
    </row>
    <row r="54" spans="3:16" ht="15.75" thickBot="1">
      <c r="C54" s="2"/>
      <c r="D54" s="13" t="s">
        <v>1873</v>
      </c>
      <c r="E54" s="14">
        <v>15</v>
      </c>
      <c r="F54" s="15">
        <v>20</v>
      </c>
      <c r="G54" s="14">
        <v>150</v>
      </c>
      <c r="H54" s="28">
        <v>25</v>
      </c>
      <c r="I54" s="136">
        <v>27</v>
      </c>
      <c r="J54" s="27" t="s">
        <v>713</v>
      </c>
      <c r="K54" s="28">
        <v>2970</v>
      </c>
      <c r="L54" s="28" t="s">
        <v>566</v>
      </c>
      <c r="M54" s="38" t="s">
        <v>1830</v>
      </c>
      <c r="N54" s="100" t="s">
        <v>1831</v>
      </c>
      <c r="O54" s="153" t="s">
        <v>1260</v>
      </c>
      <c r="P54" s="153" t="s">
        <v>1260</v>
      </c>
    </row>
    <row r="55" spans="3:16" ht="15.75" thickBot="1">
      <c r="C55" s="2"/>
      <c r="D55" s="13" t="s">
        <v>1874</v>
      </c>
      <c r="E55" s="14">
        <v>11</v>
      </c>
      <c r="F55" s="15">
        <v>15</v>
      </c>
      <c r="G55" s="14">
        <v>141</v>
      </c>
      <c r="H55" s="28">
        <v>19</v>
      </c>
      <c r="I55" s="136">
        <v>21</v>
      </c>
      <c r="J55" s="27" t="s">
        <v>713</v>
      </c>
      <c r="K55" s="28">
        <v>2970</v>
      </c>
      <c r="L55" s="28" t="s">
        <v>566</v>
      </c>
      <c r="M55" s="38" t="s">
        <v>1830</v>
      </c>
      <c r="N55" s="100" t="s">
        <v>1831</v>
      </c>
      <c r="O55" s="153" t="s">
        <v>1260</v>
      </c>
      <c r="P55" s="153" t="s">
        <v>1260</v>
      </c>
    </row>
    <row r="56" spans="3:16" ht="15.75" thickBot="1">
      <c r="C56" s="2"/>
      <c r="D56" s="13" t="s">
        <v>1875</v>
      </c>
      <c r="E56" s="14">
        <v>7.5</v>
      </c>
      <c r="F56" s="15">
        <v>10</v>
      </c>
      <c r="G56" s="14">
        <v>131</v>
      </c>
      <c r="H56" s="28">
        <v>13</v>
      </c>
      <c r="I56" s="136">
        <v>14</v>
      </c>
      <c r="J56" s="27" t="s">
        <v>713</v>
      </c>
      <c r="K56" s="28">
        <v>2970</v>
      </c>
      <c r="L56" s="28" t="s">
        <v>566</v>
      </c>
      <c r="M56" s="38" t="s">
        <v>1830</v>
      </c>
      <c r="N56" s="100" t="s">
        <v>1831</v>
      </c>
      <c r="O56" s="153" t="s">
        <v>1260</v>
      </c>
      <c r="P56" s="153" t="s">
        <v>1260</v>
      </c>
    </row>
    <row r="57" spans="3:16" ht="15.75" thickBot="1">
      <c r="C57" s="2"/>
      <c r="D57" s="13" t="s">
        <v>1876</v>
      </c>
      <c r="E57" s="14">
        <v>15</v>
      </c>
      <c r="F57" s="15">
        <v>20</v>
      </c>
      <c r="G57" s="14">
        <v>135</v>
      </c>
      <c r="H57" s="28">
        <v>26</v>
      </c>
      <c r="I57" s="136">
        <v>29</v>
      </c>
      <c r="J57" s="27" t="s">
        <v>713</v>
      </c>
      <c r="K57" s="28">
        <v>2970</v>
      </c>
      <c r="L57" s="28" t="s">
        <v>566</v>
      </c>
      <c r="M57" s="38" t="s">
        <v>1830</v>
      </c>
      <c r="N57" s="100" t="s">
        <v>1831</v>
      </c>
      <c r="O57" s="153" t="s">
        <v>1260</v>
      </c>
      <c r="P57" s="153" t="s">
        <v>1260</v>
      </c>
    </row>
    <row r="58" spans="3:16" ht="15.75" thickBot="1">
      <c r="C58" s="2"/>
      <c r="D58" s="13" t="s">
        <v>1877</v>
      </c>
      <c r="E58" s="14">
        <v>15</v>
      </c>
      <c r="F58" s="15">
        <v>20</v>
      </c>
      <c r="G58" s="14">
        <v>127</v>
      </c>
      <c r="H58" s="28">
        <v>23</v>
      </c>
      <c r="I58" s="136">
        <v>26</v>
      </c>
      <c r="J58" s="27" t="s">
        <v>713</v>
      </c>
      <c r="K58" s="28">
        <v>2970</v>
      </c>
      <c r="L58" s="28" t="s">
        <v>566</v>
      </c>
      <c r="M58" s="38" t="s">
        <v>1830</v>
      </c>
      <c r="N58" s="100" t="s">
        <v>1831</v>
      </c>
      <c r="O58" s="153" t="s">
        <v>1260</v>
      </c>
      <c r="P58" s="153" t="s">
        <v>1260</v>
      </c>
    </row>
    <row r="59" spans="3:16" ht="15.75" thickBot="1">
      <c r="C59" s="2"/>
      <c r="D59" s="13" t="s">
        <v>1878</v>
      </c>
      <c r="E59" s="14">
        <v>11</v>
      </c>
      <c r="F59" s="15">
        <v>15</v>
      </c>
      <c r="G59" s="14">
        <v>119</v>
      </c>
      <c r="H59" s="28">
        <v>18</v>
      </c>
      <c r="I59" s="136">
        <v>20</v>
      </c>
      <c r="J59" s="27" t="s">
        <v>713</v>
      </c>
      <c r="K59" s="28">
        <v>2970</v>
      </c>
      <c r="L59" s="28" t="s">
        <v>566</v>
      </c>
      <c r="M59" s="38" t="s">
        <v>1830</v>
      </c>
      <c r="N59" s="100" t="s">
        <v>1831</v>
      </c>
      <c r="O59" s="153" t="s">
        <v>1260</v>
      </c>
      <c r="P59" s="153" t="s">
        <v>1260</v>
      </c>
    </row>
    <row r="60" spans="3:16" ht="15.75" thickBot="1">
      <c r="C60" s="2"/>
      <c r="D60" s="13" t="s">
        <v>1879</v>
      </c>
      <c r="E60" s="14">
        <v>7.5</v>
      </c>
      <c r="F60" s="15">
        <v>10</v>
      </c>
      <c r="G60" s="14">
        <v>111</v>
      </c>
      <c r="H60" s="28">
        <v>12</v>
      </c>
      <c r="I60" s="136">
        <v>13</v>
      </c>
      <c r="J60" s="27" t="s">
        <v>713</v>
      </c>
      <c r="K60" s="28">
        <v>2970</v>
      </c>
      <c r="L60" s="28" t="s">
        <v>566</v>
      </c>
      <c r="M60" s="38" t="s">
        <v>1830</v>
      </c>
      <c r="N60" s="100" t="s">
        <v>1831</v>
      </c>
      <c r="O60" s="153" t="s">
        <v>1260</v>
      </c>
      <c r="P60" s="153" t="s">
        <v>1260</v>
      </c>
    </row>
    <row r="61" spans="3:16" ht="15.75" thickBot="1">
      <c r="C61" s="2"/>
      <c r="D61" s="13" t="s">
        <v>1880</v>
      </c>
      <c r="E61" s="14">
        <v>110</v>
      </c>
      <c r="F61" s="15">
        <v>150</v>
      </c>
      <c r="G61" s="14">
        <v>300</v>
      </c>
      <c r="H61" s="28">
        <v>79</v>
      </c>
      <c r="I61" s="136">
        <v>90</v>
      </c>
      <c r="J61" s="27" t="s">
        <v>1881</v>
      </c>
      <c r="K61" s="28">
        <v>2970</v>
      </c>
      <c r="L61" s="28" t="s">
        <v>566</v>
      </c>
      <c r="M61" s="38" t="s">
        <v>1830</v>
      </c>
      <c r="N61" s="100" t="s">
        <v>1831</v>
      </c>
      <c r="O61" s="153" t="s">
        <v>1260</v>
      </c>
      <c r="P61" s="153" t="s">
        <v>1260</v>
      </c>
    </row>
    <row r="62" spans="3:16" ht="15.75" thickBot="1">
      <c r="C62" s="2"/>
      <c r="D62" s="13" t="s">
        <v>1882</v>
      </c>
      <c r="E62" s="14">
        <v>90</v>
      </c>
      <c r="F62" s="15">
        <v>125</v>
      </c>
      <c r="G62" s="14">
        <v>282</v>
      </c>
      <c r="H62" s="28">
        <v>70</v>
      </c>
      <c r="I62" s="136">
        <v>80</v>
      </c>
      <c r="J62" s="27" t="s">
        <v>1881</v>
      </c>
      <c r="K62" s="28">
        <v>2970</v>
      </c>
      <c r="L62" s="28" t="s">
        <v>566</v>
      </c>
      <c r="M62" s="38" t="s">
        <v>1830</v>
      </c>
      <c r="N62" s="100" t="s">
        <v>1831</v>
      </c>
      <c r="O62" s="153" t="s">
        <v>1260</v>
      </c>
      <c r="P62" s="153" t="s">
        <v>1260</v>
      </c>
    </row>
    <row r="63" spans="3:16" ht="15.75" thickBot="1">
      <c r="C63" s="2"/>
      <c r="D63" s="13" t="s">
        <v>1883</v>
      </c>
      <c r="E63" s="14">
        <v>75</v>
      </c>
      <c r="F63" s="15">
        <v>100</v>
      </c>
      <c r="G63" s="14">
        <v>264</v>
      </c>
      <c r="H63" s="28">
        <v>54</v>
      </c>
      <c r="I63" s="136">
        <v>62</v>
      </c>
      <c r="J63" s="27" t="s">
        <v>1881</v>
      </c>
      <c r="K63" s="28">
        <v>2970</v>
      </c>
      <c r="L63" s="28" t="s">
        <v>566</v>
      </c>
      <c r="M63" s="38" t="s">
        <v>1830</v>
      </c>
      <c r="N63" s="100" t="s">
        <v>1831</v>
      </c>
      <c r="O63" s="153" t="s">
        <v>1260</v>
      </c>
      <c r="P63" s="153" t="s">
        <v>1260</v>
      </c>
    </row>
    <row r="64" spans="3:16" ht="15.75" thickBot="1">
      <c r="C64" s="2"/>
      <c r="D64" s="13" t="s">
        <v>1884</v>
      </c>
      <c r="E64" s="14">
        <v>45</v>
      </c>
      <c r="F64" s="15">
        <v>60</v>
      </c>
      <c r="G64" s="14">
        <v>246</v>
      </c>
      <c r="H64" s="28">
        <v>36</v>
      </c>
      <c r="I64" s="136">
        <v>41</v>
      </c>
      <c r="J64" s="27" t="s">
        <v>1881</v>
      </c>
      <c r="K64" s="28">
        <v>2970</v>
      </c>
      <c r="L64" s="28" t="s">
        <v>566</v>
      </c>
      <c r="M64" s="38" t="s">
        <v>1830</v>
      </c>
      <c r="N64" s="100" t="s">
        <v>1831</v>
      </c>
      <c r="O64" s="153" t="s">
        <v>1260</v>
      </c>
      <c r="P64" s="153" t="s">
        <v>1260</v>
      </c>
    </row>
    <row r="65" spans="3:16" ht="15.75" thickBot="1">
      <c r="C65" s="2"/>
      <c r="D65" s="13" t="s">
        <v>1885</v>
      </c>
      <c r="E65" s="14">
        <v>75</v>
      </c>
      <c r="F65" s="15">
        <v>100</v>
      </c>
      <c r="G65" s="14">
        <v>260</v>
      </c>
      <c r="H65" s="28">
        <v>71</v>
      </c>
      <c r="I65" s="136">
        <v>81</v>
      </c>
      <c r="J65" s="27" t="s">
        <v>1881</v>
      </c>
      <c r="K65" s="28">
        <v>2970</v>
      </c>
      <c r="L65" s="28" t="s">
        <v>566</v>
      </c>
      <c r="M65" s="38" t="s">
        <v>1830</v>
      </c>
      <c r="N65" s="100" t="s">
        <v>1831</v>
      </c>
      <c r="O65" s="153" t="s">
        <v>1260</v>
      </c>
      <c r="P65" s="153" t="s">
        <v>1260</v>
      </c>
    </row>
    <row r="66" spans="3:16" ht="15.75" thickBot="1">
      <c r="C66" s="2"/>
      <c r="D66" s="13" t="s">
        <v>1886</v>
      </c>
      <c r="E66" s="14">
        <v>75</v>
      </c>
      <c r="F66" s="15">
        <v>100</v>
      </c>
      <c r="G66" s="14">
        <v>244</v>
      </c>
      <c r="H66" s="28">
        <v>63</v>
      </c>
      <c r="I66" s="136">
        <v>72</v>
      </c>
      <c r="J66" s="27" t="s">
        <v>1881</v>
      </c>
      <c r="K66" s="28">
        <v>2970</v>
      </c>
      <c r="L66" s="28" t="s">
        <v>566</v>
      </c>
      <c r="M66" s="38" t="s">
        <v>1830</v>
      </c>
      <c r="N66" s="100" t="s">
        <v>1831</v>
      </c>
      <c r="O66" s="153" t="s">
        <v>1260</v>
      </c>
      <c r="P66" s="153" t="s">
        <v>1260</v>
      </c>
    </row>
    <row r="67" spans="3:16" ht="15.75" thickBot="1">
      <c r="C67" s="2"/>
      <c r="D67" s="13" t="s">
        <v>1887</v>
      </c>
      <c r="E67" s="14">
        <v>55</v>
      </c>
      <c r="F67" s="15">
        <v>75</v>
      </c>
      <c r="G67" s="14">
        <v>229</v>
      </c>
      <c r="H67" s="28">
        <v>49</v>
      </c>
      <c r="I67" s="136">
        <v>56</v>
      </c>
      <c r="J67" s="27" t="s">
        <v>1881</v>
      </c>
      <c r="K67" s="28">
        <v>2970</v>
      </c>
      <c r="L67" s="28" t="s">
        <v>566</v>
      </c>
      <c r="M67" s="38" t="s">
        <v>1830</v>
      </c>
      <c r="N67" s="100" t="s">
        <v>1831</v>
      </c>
      <c r="O67" s="153" t="s">
        <v>1260</v>
      </c>
      <c r="P67" s="153" t="s">
        <v>1260</v>
      </c>
    </row>
    <row r="68" spans="3:16" ht="15.75" thickBot="1">
      <c r="C68" s="2"/>
      <c r="D68" s="13" t="s">
        <v>1888</v>
      </c>
      <c r="E68" s="14">
        <v>30</v>
      </c>
      <c r="F68" s="15">
        <v>40</v>
      </c>
      <c r="G68" s="14">
        <v>213</v>
      </c>
      <c r="H68" s="28">
        <v>33</v>
      </c>
      <c r="I68" s="136">
        <v>37</v>
      </c>
      <c r="J68" s="27" t="s">
        <v>1881</v>
      </c>
      <c r="K68" s="28">
        <v>2970</v>
      </c>
      <c r="L68" s="28" t="s">
        <v>566</v>
      </c>
      <c r="M68" s="38" t="s">
        <v>1830</v>
      </c>
      <c r="N68" s="100" t="s">
        <v>1831</v>
      </c>
      <c r="O68" s="153" t="s">
        <v>1260</v>
      </c>
      <c r="P68" s="153" t="s">
        <v>1260</v>
      </c>
    </row>
    <row r="69" spans="3:16" ht="15.75" thickBot="1">
      <c r="C69" s="2"/>
      <c r="D69" s="13" t="s">
        <v>1889</v>
      </c>
      <c r="E69" s="14">
        <v>15</v>
      </c>
      <c r="F69" s="15">
        <v>20</v>
      </c>
      <c r="G69" s="14">
        <v>149</v>
      </c>
      <c r="H69" s="28">
        <v>20</v>
      </c>
      <c r="I69" s="136">
        <v>22</v>
      </c>
      <c r="J69" s="27" t="s">
        <v>1881</v>
      </c>
      <c r="K69" s="28">
        <v>1480</v>
      </c>
      <c r="L69" s="28" t="s">
        <v>566</v>
      </c>
      <c r="M69" s="38" t="s">
        <v>1830</v>
      </c>
      <c r="N69" s="100" t="s">
        <v>1831</v>
      </c>
      <c r="O69" s="153" t="s">
        <v>1260</v>
      </c>
      <c r="P69" s="153" t="s">
        <v>1260</v>
      </c>
    </row>
    <row r="70" spans="3:16" ht="15.75" thickBot="1">
      <c r="C70" s="2"/>
      <c r="D70" s="13" t="s">
        <v>1890</v>
      </c>
      <c r="E70" s="14">
        <v>11</v>
      </c>
      <c r="F70" s="15">
        <v>15</v>
      </c>
      <c r="G70" s="14">
        <v>141</v>
      </c>
      <c r="H70" s="28">
        <v>17</v>
      </c>
      <c r="I70" s="136">
        <v>20</v>
      </c>
      <c r="J70" s="27" t="s">
        <v>1881</v>
      </c>
      <c r="K70" s="28">
        <v>1480</v>
      </c>
      <c r="L70" s="28" t="s">
        <v>566</v>
      </c>
      <c r="M70" s="38" t="s">
        <v>1830</v>
      </c>
      <c r="N70" s="100" t="s">
        <v>1831</v>
      </c>
      <c r="O70" s="153" t="s">
        <v>1260</v>
      </c>
      <c r="P70" s="153" t="s">
        <v>1260</v>
      </c>
    </row>
    <row r="71" spans="3:16" ht="15.75" thickBot="1">
      <c r="C71" s="2"/>
      <c r="D71" s="13" t="s">
        <v>1891</v>
      </c>
      <c r="E71" s="14">
        <v>7.5</v>
      </c>
      <c r="F71" s="15">
        <v>10</v>
      </c>
      <c r="G71" s="14">
        <v>132</v>
      </c>
      <c r="H71" s="28">
        <v>13</v>
      </c>
      <c r="I71" s="136">
        <v>15</v>
      </c>
      <c r="J71" s="27" t="s">
        <v>1881</v>
      </c>
      <c r="K71" s="28">
        <v>1480</v>
      </c>
      <c r="L71" s="28" t="s">
        <v>566</v>
      </c>
      <c r="M71" s="38" t="s">
        <v>1830</v>
      </c>
      <c r="N71" s="100" t="s">
        <v>1831</v>
      </c>
      <c r="O71" s="153" t="s">
        <v>1260</v>
      </c>
      <c r="P71" s="153" t="s">
        <v>1260</v>
      </c>
    </row>
    <row r="72" spans="3:16" ht="15.75" thickBot="1">
      <c r="C72" s="2"/>
      <c r="D72" s="13" t="s">
        <v>1892</v>
      </c>
      <c r="E72" s="14">
        <v>5.5</v>
      </c>
      <c r="F72" s="15">
        <v>7.5</v>
      </c>
      <c r="G72" s="14">
        <v>123</v>
      </c>
      <c r="H72" s="28">
        <v>9</v>
      </c>
      <c r="I72" s="136">
        <v>10</v>
      </c>
      <c r="J72" s="27" t="s">
        <v>1881</v>
      </c>
      <c r="K72" s="28">
        <v>1480</v>
      </c>
      <c r="L72" s="28" t="s">
        <v>566</v>
      </c>
      <c r="M72" s="38" t="s">
        <v>1830</v>
      </c>
      <c r="N72" s="100" t="s">
        <v>1831</v>
      </c>
      <c r="O72" s="153" t="s">
        <v>1260</v>
      </c>
      <c r="P72" s="153" t="s">
        <v>1260</v>
      </c>
    </row>
    <row r="73" spans="3:16" ht="15.75" thickBot="1">
      <c r="C73" s="2"/>
      <c r="D73" s="13" t="s">
        <v>1893</v>
      </c>
      <c r="E73" s="14">
        <v>11</v>
      </c>
      <c r="F73" s="15">
        <v>15</v>
      </c>
      <c r="G73" s="14">
        <v>130</v>
      </c>
      <c r="H73" s="28">
        <v>18</v>
      </c>
      <c r="I73" s="136">
        <v>20</v>
      </c>
      <c r="J73" s="27" t="s">
        <v>1881</v>
      </c>
      <c r="K73" s="28">
        <v>1480</v>
      </c>
      <c r="L73" s="28" t="s">
        <v>566</v>
      </c>
      <c r="M73" s="38" t="s">
        <v>1830</v>
      </c>
      <c r="N73" s="100" t="s">
        <v>1831</v>
      </c>
      <c r="O73" s="153" t="s">
        <v>1260</v>
      </c>
      <c r="P73" s="153" t="s">
        <v>1260</v>
      </c>
    </row>
    <row r="74" spans="3:16" ht="15.75" thickBot="1">
      <c r="C74" s="2"/>
      <c r="D74" s="13" t="s">
        <v>1894</v>
      </c>
      <c r="E74" s="14">
        <v>11</v>
      </c>
      <c r="F74" s="15">
        <v>15</v>
      </c>
      <c r="G74" s="14">
        <v>122</v>
      </c>
      <c r="H74" s="28">
        <v>16</v>
      </c>
      <c r="I74" s="136">
        <v>18</v>
      </c>
      <c r="J74" s="27" t="s">
        <v>1881</v>
      </c>
      <c r="K74" s="28">
        <v>1480</v>
      </c>
      <c r="L74" s="28" t="s">
        <v>566</v>
      </c>
      <c r="M74" s="38" t="s">
        <v>1830</v>
      </c>
      <c r="N74" s="100" t="s">
        <v>1831</v>
      </c>
      <c r="O74" s="153" t="s">
        <v>1260</v>
      </c>
      <c r="P74" s="153" t="s">
        <v>1260</v>
      </c>
    </row>
    <row r="75" spans="3:16" ht="15.75" thickBot="1">
      <c r="C75" s="2"/>
      <c r="D75" s="13" t="s">
        <v>1895</v>
      </c>
      <c r="E75" s="14">
        <v>7.5</v>
      </c>
      <c r="F75" s="15">
        <v>10</v>
      </c>
      <c r="G75" s="14">
        <v>114</v>
      </c>
      <c r="H75" s="28">
        <v>12</v>
      </c>
      <c r="I75" s="136">
        <v>14</v>
      </c>
      <c r="J75" s="27" t="s">
        <v>1881</v>
      </c>
      <c r="K75" s="28">
        <v>1480</v>
      </c>
      <c r="L75" s="28" t="s">
        <v>566</v>
      </c>
      <c r="M75" s="38" t="s">
        <v>1830</v>
      </c>
      <c r="N75" s="100" t="s">
        <v>1831</v>
      </c>
      <c r="O75" s="153" t="s">
        <v>1260</v>
      </c>
      <c r="P75" s="153" t="s">
        <v>1260</v>
      </c>
    </row>
    <row r="76" spans="3:16" ht="15.75" thickBot="1">
      <c r="C76" s="2"/>
      <c r="D76" s="13" t="s">
        <v>1896</v>
      </c>
      <c r="E76" s="14">
        <v>5.5</v>
      </c>
      <c r="F76" s="15">
        <v>7.5</v>
      </c>
      <c r="G76" s="14">
        <v>106</v>
      </c>
      <c r="H76" s="28">
        <v>8</v>
      </c>
      <c r="I76" s="136">
        <v>9</v>
      </c>
      <c r="J76" s="27" t="s">
        <v>1881</v>
      </c>
      <c r="K76" s="28">
        <v>1480</v>
      </c>
      <c r="L76" s="28" t="s">
        <v>566</v>
      </c>
      <c r="M76" s="38" t="s">
        <v>1830</v>
      </c>
      <c r="N76" s="100" t="s">
        <v>1831</v>
      </c>
      <c r="O76" s="153" t="s">
        <v>1260</v>
      </c>
      <c r="P76" s="153" t="s">
        <v>1260</v>
      </c>
    </row>
    <row r="77" spans="3:16" ht="15.75" thickBot="1">
      <c r="C77" s="2"/>
      <c r="D77" s="13" t="s">
        <v>1897</v>
      </c>
      <c r="E77" s="14">
        <v>200</v>
      </c>
      <c r="F77" s="15">
        <v>270</v>
      </c>
      <c r="G77" s="14">
        <v>380</v>
      </c>
      <c r="H77" s="28">
        <v>129</v>
      </c>
      <c r="I77" s="136">
        <v>147</v>
      </c>
      <c r="J77" s="27" t="s">
        <v>1881</v>
      </c>
      <c r="K77" s="28">
        <v>2970</v>
      </c>
      <c r="L77" s="28" t="s">
        <v>566</v>
      </c>
      <c r="M77" s="38" t="s">
        <v>1830</v>
      </c>
      <c r="N77" s="100" t="s">
        <v>1831</v>
      </c>
      <c r="O77" s="153" t="s">
        <v>1260</v>
      </c>
      <c r="P77" s="153" t="s">
        <v>1260</v>
      </c>
    </row>
    <row r="78" spans="3:16" ht="15.75" thickBot="1">
      <c r="C78" s="2"/>
      <c r="D78" s="13" t="s">
        <v>1898</v>
      </c>
      <c r="E78" s="14">
        <v>185</v>
      </c>
      <c r="F78" s="15">
        <v>250</v>
      </c>
      <c r="G78" s="14">
        <v>357</v>
      </c>
      <c r="H78" s="28">
        <v>114</v>
      </c>
      <c r="I78" s="136">
        <v>130</v>
      </c>
      <c r="J78" s="27" t="s">
        <v>1881</v>
      </c>
      <c r="K78" s="28">
        <v>2970</v>
      </c>
      <c r="L78" s="28" t="s">
        <v>566</v>
      </c>
      <c r="M78" s="38" t="s">
        <v>1830</v>
      </c>
      <c r="N78" s="100" t="s">
        <v>1831</v>
      </c>
      <c r="O78" s="153" t="s">
        <v>1260</v>
      </c>
      <c r="P78" s="153" t="s">
        <v>1260</v>
      </c>
    </row>
    <row r="79" spans="3:16" ht="15.75" thickBot="1">
      <c r="C79" s="2"/>
      <c r="D79" s="13" t="s">
        <v>1899</v>
      </c>
      <c r="E79" s="14">
        <v>132</v>
      </c>
      <c r="F79" s="15">
        <v>180</v>
      </c>
      <c r="G79" s="14">
        <v>331</v>
      </c>
      <c r="H79" s="28">
        <v>86</v>
      </c>
      <c r="I79" s="136">
        <v>98</v>
      </c>
      <c r="J79" s="27" t="s">
        <v>1881</v>
      </c>
      <c r="K79" s="28">
        <v>2970</v>
      </c>
      <c r="L79" s="28" t="s">
        <v>566</v>
      </c>
      <c r="M79" s="38" t="s">
        <v>1830</v>
      </c>
      <c r="N79" s="100" t="s">
        <v>1831</v>
      </c>
      <c r="O79" s="153" t="s">
        <v>1260</v>
      </c>
      <c r="P79" s="153" t="s">
        <v>1260</v>
      </c>
    </row>
    <row r="80" spans="3:16" ht="15.75" thickBot="1">
      <c r="C80" s="2"/>
      <c r="D80" s="13" t="s">
        <v>1900</v>
      </c>
      <c r="E80" s="14">
        <v>75</v>
      </c>
      <c r="F80" s="15">
        <v>100</v>
      </c>
      <c r="G80" s="14">
        <v>304</v>
      </c>
      <c r="H80" s="28">
        <v>55</v>
      </c>
      <c r="I80" s="136">
        <v>63</v>
      </c>
      <c r="J80" s="27" t="s">
        <v>1881</v>
      </c>
      <c r="K80" s="28">
        <v>2970</v>
      </c>
      <c r="L80" s="28" t="s">
        <v>566</v>
      </c>
      <c r="M80" s="38" t="s">
        <v>1830</v>
      </c>
      <c r="N80" s="100" t="s">
        <v>1831</v>
      </c>
      <c r="O80" s="153" t="s">
        <v>1260</v>
      </c>
      <c r="P80" s="153" t="s">
        <v>1260</v>
      </c>
    </row>
    <row r="81" spans="3:16" ht="15.75" thickBot="1">
      <c r="C81" s="2"/>
      <c r="D81" s="13" t="s">
        <v>1901</v>
      </c>
      <c r="E81" s="14">
        <v>160</v>
      </c>
      <c r="F81" s="15">
        <v>220</v>
      </c>
      <c r="G81" s="14">
        <v>325</v>
      </c>
      <c r="H81" s="28">
        <v>116</v>
      </c>
      <c r="I81" s="136">
        <v>133</v>
      </c>
      <c r="J81" s="27" t="s">
        <v>1881</v>
      </c>
      <c r="K81" s="28">
        <v>2970</v>
      </c>
      <c r="L81" s="28" t="s">
        <v>566</v>
      </c>
      <c r="M81" s="38" t="s">
        <v>1830</v>
      </c>
      <c r="N81" s="100" t="s">
        <v>1831</v>
      </c>
      <c r="O81" s="153" t="s">
        <v>1260</v>
      </c>
      <c r="P81" s="153" t="s">
        <v>1260</v>
      </c>
    </row>
    <row r="82" spans="3:16" ht="15.75" thickBot="1">
      <c r="C82" s="2"/>
      <c r="D82" s="13" t="s">
        <v>1902</v>
      </c>
      <c r="E82" s="14">
        <v>132</v>
      </c>
      <c r="F82" s="15">
        <v>180</v>
      </c>
      <c r="G82" s="14">
        <v>306</v>
      </c>
      <c r="H82" s="28">
        <v>103</v>
      </c>
      <c r="I82" s="136">
        <v>117</v>
      </c>
      <c r="J82" s="27" t="s">
        <v>1881</v>
      </c>
      <c r="K82" s="28">
        <v>2970</v>
      </c>
      <c r="L82" s="28" t="s">
        <v>566</v>
      </c>
      <c r="M82" s="38" t="s">
        <v>1830</v>
      </c>
      <c r="N82" s="100" t="s">
        <v>1831</v>
      </c>
      <c r="O82" s="153" t="s">
        <v>1260</v>
      </c>
      <c r="P82" s="153" t="s">
        <v>1260</v>
      </c>
    </row>
    <row r="83" spans="3:16" ht="15.75" thickBot="1">
      <c r="C83" s="2"/>
      <c r="D83" s="13" t="s">
        <v>1903</v>
      </c>
      <c r="E83" s="14">
        <v>90</v>
      </c>
      <c r="F83" s="15">
        <v>125</v>
      </c>
      <c r="G83" s="14">
        <v>283</v>
      </c>
      <c r="H83" s="28">
        <v>78</v>
      </c>
      <c r="I83" s="136">
        <v>89</v>
      </c>
      <c r="J83" s="27" t="s">
        <v>1881</v>
      </c>
      <c r="K83" s="28">
        <v>2970</v>
      </c>
      <c r="L83" s="28" t="s">
        <v>566</v>
      </c>
      <c r="M83" s="38" t="s">
        <v>1830</v>
      </c>
      <c r="N83" s="100" t="s">
        <v>1831</v>
      </c>
      <c r="O83" s="153" t="s">
        <v>1260</v>
      </c>
      <c r="P83" s="153" t="s">
        <v>1260</v>
      </c>
    </row>
    <row r="84" spans="3:16" ht="15.75" thickBot="1">
      <c r="C84" s="2"/>
      <c r="D84" s="13" t="s">
        <v>1904</v>
      </c>
      <c r="E84" s="14">
        <v>55</v>
      </c>
      <c r="F84" s="15">
        <v>75</v>
      </c>
      <c r="G84" s="14">
        <v>260</v>
      </c>
      <c r="H84" s="28">
        <v>50</v>
      </c>
      <c r="I84" s="136">
        <v>57</v>
      </c>
      <c r="J84" s="27" t="s">
        <v>1881</v>
      </c>
      <c r="K84" s="28">
        <v>2970</v>
      </c>
      <c r="L84" s="28" t="s">
        <v>566</v>
      </c>
      <c r="M84" s="38" t="s">
        <v>1830</v>
      </c>
      <c r="N84" s="100" t="s">
        <v>1831</v>
      </c>
      <c r="O84" s="153" t="s">
        <v>1260</v>
      </c>
      <c r="P84" s="153" t="s">
        <v>1260</v>
      </c>
    </row>
    <row r="85" spans="3:16" ht="15.75" thickBot="1">
      <c r="C85" s="2"/>
      <c r="D85" s="13" t="s">
        <v>1905</v>
      </c>
      <c r="E85" s="14">
        <v>30</v>
      </c>
      <c r="F85" s="15">
        <v>40</v>
      </c>
      <c r="G85" s="14">
        <v>189</v>
      </c>
      <c r="H85" s="28">
        <v>32</v>
      </c>
      <c r="I85" s="136">
        <v>37</v>
      </c>
      <c r="J85" s="27" t="s">
        <v>1881</v>
      </c>
      <c r="K85" s="28">
        <v>1480</v>
      </c>
      <c r="L85" s="28" t="s">
        <v>566</v>
      </c>
      <c r="M85" s="38" t="s">
        <v>1830</v>
      </c>
      <c r="N85" s="100" t="s">
        <v>1831</v>
      </c>
      <c r="O85" s="153" t="s">
        <v>1260</v>
      </c>
      <c r="P85" s="153" t="s">
        <v>1260</v>
      </c>
    </row>
    <row r="86" spans="3:16" ht="15.75" thickBot="1">
      <c r="C86" s="2"/>
      <c r="D86" s="13" t="s">
        <v>1906</v>
      </c>
      <c r="E86" s="14">
        <v>22</v>
      </c>
      <c r="F86" s="15">
        <v>30</v>
      </c>
      <c r="G86" s="14">
        <v>178</v>
      </c>
      <c r="H86" s="28">
        <v>28</v>
      </c>
      <c r="I86" s="136">
        <v>32</v>
      </c>
      <c r="J86" s="27" t="s">
        <v>1881</v>
      </c>
      <c r="K86" s="28">
        <v>1480</v>
      </c>
      <c r="L86" s="28" t="s">
        <v>566</v>
      </c>
      <c r="M86" s="38" t="s">
        <v>1830</v>
      </c>
      <c r="N86" s="100" t="s">
        <v>1831</v>
      </c>
      <c r="O86" s="153" t="s">
        <v>1260</v>
      </c>
      <c r="P86" s="153" t="s">
        <v>1260</v>
      </c>
    </row>
    <row r="87" spans="3:16" ht="15.75" thickBot="1">
      <c r="C87" s="2"/>
      <c r="D87" s="13" t="s">
        <v>1907</v>
      </c>
      <c r="E87" s="14">
        <v>15</v>
      </c>
      <c r="F87" s="15">
        <v>20</v>
      </c>
      <c r="G87" s="14">
        <v>165</v>
      </c>
      <c r="H87" s="28">
        <v>21</v>
      </c>
      <c r="I87" s="136">
        <v>24</v>
      </c>
      <c r="J87" s="27" t="s">
        <v>1881</v>
      </c>
      <c r="K87" s="28">
        <v>1480</v>
      </c>
      <c r="L87" s="28" t="s">
        <v>566</v>
      </c>
      <c r="M87" s="38" t="s">
        <v>1830</v>
      </c>
      <c r="N87" s="100" t="s">
        <v>1831</v>
      </c>
      <c r="O87" s="153" t="s">
        <v>1260</v>
      </c>
      <c r="P87" s="153" t="s">
        <v>1260</v>
      </c>
    </row>
    <row r="88" spans="3:16" ht="15.75" thickBot="1">
      <c r="C88" s="2"/>
      <c r="D88" s="13" t="s">
        <v>1908</v>
      </c>
      <c r="E88" s="14">
        <v>11</v>
      </c>
      <c r="F88" s="15">
        <v>15</v>
      </c>
      <c r="G88" s="14">
        <v>151</v>
      </c>
      <c r="H88" s="28">
        <v>14</v>
      </c>
      <c r="I88" s="136">
        <v>16</v>
      </c>
      <c r="J88" s="27" t="s">
        <v>1881</v>
      </c>
      <c r="K88" s="28">
        <v>1480</v>
      </c>
      <c r="L88" s="28" t="s">
        <v>566</v>
      </c>
      <c r="M88" s="38" t="s">
        <v>1830</v>
      </c>
      <c r="N88" s="100" t="s">
        <v>1831</v>
      </c>
      <c r="O88" s="153" t="s">
        <v>1260</v>
      </c>
      <c r="P88" s="153" t="s">
        <v>1260</v>
      </c>
    </row>
    <row r="89" spans="3:16" ht="15.75" thickBot="1">
      <c r="C89" s="2"/>
      <c r="D89" s="13" t="s">
        <v>1909</v>
      </c>
      <c r="E89" s="14">
        <v>22</v>
      </c>
      <c r="F89" s="15">
        <v>30</v>
      </c>
      <c r="G89" s="14">
        <v>162</v>
      </c>
      <c r="H89" s="28">
        <v>29</v>
      </c>
      <c r="I89" s="136">
        <v>33</v>
      </c>
      <c r="J89" s="27" t="s">
        <v>1881</v>
      </c>
      <c r="K89" s="28">
        <v>1480</v>
      </c>
      <c r="L89" s="28" t="s">
        <v>566</v>
      </c>
      <c r="M89" s="38" t="s">
        <v>1830</v>
      </c>
      <c r="N89" s="100" t="s">
        <v>1831</v>
      </c>
      <c r="O89" s="153" t="s">
        <v>1260</v>
      </c>
      <c r="P89" s="153" t="s">
        <v>1260</v>
      </c>
    </row>
    <row r="90" spans="3:16" ht="15.75" thickBot="1">
      <c r="C90" s="2"/>
      <c r="D90" s="13" t="s">
        <v>1910</v>
      </c>
      <c r="E90" s="14">
        <v>18.5</v>
      </c>
      <c r="F90" s="15">
        <v>25</v>
      </c>
      <c r="G90" s="14">
        <v>152</v>
      </c>
      <c r="H90" s="28">
        <v>26</v>
      </c>
      <c r="I90" s="136">
        <v>29</v>
      </c>
      <c r="J90" s="27" t="s">
        <v>1881</v>
      </c>
      <c r="K90" s="28">
        <v>1480</v>
      </c>
      <c r="L90" s="28" t="s">
        <v>566</v>
      </c>
      <c r="M90" s="38" t="s">
        <v>1830</v>
      </c>
      <c r="N90" s="100" t="s">
        <v>1831</v>
      </c>
      <c r="O90" s="153" t="s">
        <v>1260</v>
      </c>
      <c r="P90" s="153" t="s">
        <v>1260</v>
      </c>
    </row>
    <row r="91" spans="3:16" ht="15.75" thickBot="1">
      <c r="C91" s="2"/>
      <c r="D91" s="13" t="s">
        <v>1911</v>
      </c>
      <c r="E91" s="14">
        <v>11</v>
      </c>
      <c r="F91" s="15">
        <v>15</v>
      </c>
      <c r="G91" s="14">
        <v>141</v>
      </c>
      <c r="H91" s="28">
        <v>19</v>
      </c>
      <c r="I91" s="136">
        <v>22</v>
      </c>
      <c r="J91" s="27" t="s">
        <v>1881</v>
      </c>
      <c r="K91" s="28">
        <v>1480</v>
      </c>
      <c r="L91" s="28" t="s">
        <v>566</v>
      </c>
      <c r="M91" s="38" t="s">
        <v>1830</v>
      </c>
      <c r="N91" s="100" t="s">
        <v>1831</v>
      </c>
      <c r="O91" s="153" t="s">
        <v>1260</v>
      </c>
      <c r="P91" s="153" t="s">
        <v>1260</v>
      </c>
    </row>
    <row r="92" spans="3:16" ht="15.75" thickBot="1">
      <c r="C92" s="2"/>
      <c r="D92" s="13" t="s">
        <v>1912</v>
      </c>
      <c r="E92" s="14">
        <v>7.5</v>
      </c>
      <c r="F92" s="15">
        <v>10</v>
      </c>
      <c r="G92" s="14">
        <v>130</v>
      </c>
      <c r="H92" s="28">
        <v>12</v>
      </c>
      <c r="I92" s="136">
        <v>14</v>
      </c>
      <c r="J92" s="27" t="s">
        <v>1881</v>
      </c>
      <c r="K92" s="28">
        <v>1480</v>
      </c>
      <c r="L92" s="28" t="s">
        <v>566</v>
      </c>
      <c r="M92" s="38" t="s">
        <v>1830</v>
      </c>
      <c r="N92" s="100" t="s">
        <v>1831</v>
      </c>
      <c r="O92" s="153" t="s">
        <v>1260</v>
      </c>
      <c r="P92" s="153" t="s">
        <v>1260</v>
      </c>
    </row>
    <row r="93" spans="3:16" ht="15.75" thickBot="1">
      <c r="C93" s="2"/>
      <c r="D93" s="13" t="s">
        <v>1913</v>
      </c>
      <c r="E93" s="14">
        <v>250</v>
      </c>
      <c r="F93" s="15">
        <v>340</v>
      </c>
      <c r="G93" s="14">
        <v>280</v>
      </c>
      <c r="H93" s="28">
        <v>190</v>
      </c>
      <c r="I93" s="136">
        <v>202</v>
      </c>
      <c r="J93" s="27" t="s">
        <v>1881</v>
      </c>
      <c r="K93" s="28">
        <v>2970</v>
      </c>
      <c r="L93" s="28" t="s">
        <v>566</v>
      </c>
      <c r="M93" s="38" t="s">
        <v>1830</v>
      </c>
      <c r="N93" s="100" t="s">
        <v>1831</v>
      </c>
      <c r="O93" s="153" t="s">
        <v>1260</v>
      </c>
      <c r="P93" s="153" t="s">
        <v>1260</v>
      </c>
    </row>
    <row r="94" spans="3:16" ht="15.75" thickBot="1">
      <c r="C94" s="2"/>
      <c r="D94" s="13" t="s">
        <v>1914</v>
      </c>
      <c r="E94" s="14">
        <v>220</v>
      </c>
      <c r="F94" s="15">
        <v>300</v>
      </c>
      <c r="G94" s="14">
        <v>263</v>
      </c>
      <c r="H94" s="28">
        <v>168</v>
      </c>
      <c r="I94" s="136">
        <v>178</v>
      </c>
      <c r="J94" s="27" t="s">
        <v>1881</v>
      </c>
      <c r="K94" s="28">
        <v>2970</v>
      </c>
      <c r="L94" s="28" t="s">
        <v>566</v>
      </c>
      <c r="M94" s="38" t="s">
        <v>1830</v>
      </c>
      <c r="N94" s="100" t="s">
        <v>1831</v>
      </c>
      <c r="O94" s="153" t="s">
        <v>1260</v>
      </c>
      <c r="P94" s="153" t="s">
        <v>1260</v>
      </c>
    </row>
    <row r="95" spans="3:16" ht="15.75" thickBot="1">
      <c r="C95" s="2"/>
      <c r="D95" s="13" t="s">
        <v>1915</v>
      </c>
      <c r="E95" s="14">
        <v>160</v>
      </c>
      <c r="F95" s="15">
        <v>220</v>
      </c>
      <c r="G95" s="14">
        <v>244</v>
      </c>
      <c r="H95" s="28">
        <v>127</v>
      </c>
      <c r="I95" s="136">
        <v>135</v>
      </c>
      <c r="J95" s="27" t="s">
        <v>1881</v>
      </c>
      <c r="K95" s="28">
        <v>2970</v>
      </c>
      <c r="L95" s="28" t="s">
        <v>566</v>
      </c>
      <c r="M95" s="38" t="s">
        <v>1830</v>
      </c>
      <c r="N95" s="100" t="s">
        <v>1831</v>
      </c>
      <c r="O95" s="153" t="s">
        <v>1260</v>
      </c>
      <c r="P95" s="153" t="s">
        <v>1260</v>
      </c>
    </row>
    <row r="96" spans="3:16" ht="15.75" thickBot="1">
      <c r="C96" s="2"/>
      <c r="D96" s="13" t="s">
        <v>1916</v>
      </c>
      <c r="E96" s="14">
        <v>90</v>
      </c>
      <c r="F96" s="15">
        <v>125</v>
      </c>
      <c r="G96" s="14">
        <v>224</v>
      </c>
      <c r="H96" s="28">
        <v>81</v>
      </c>
      <c r="I96" s="136">
        <v>86</v>
      </c>
      <c r="J96" s="27" t="s">
        <v>1881</v>
      </c>
      <c r="K96" s="28">
        <v>2970</v>
      </c>
      <c r="L96" s="28" t="s">
        <v>566</v>
      </c>
      <c r="M96" s="38" t="s">
        <v>1830</v>
      </c>
      <c r="N96" s="100" t="s">
        <v>1831</v>
      </c>
      <c r="O96" s="153" t="s">
        <v>1260</v>
      </c>
      <c r="P96" s="153" t="s">
        <v>1260</v>
      </c>
    </row>
    <row r="97" spans="3:16" ht="15.75" thickBot="1">
      <c r="C97" s="2"/>
      <c r="D97" s="13" t="s">
        <v>1917</v>
      </c>
      <c r="E97" s="14">
        <v>200</v>
      </c>
      <c r="F97" s="15">
        <v>270</v>
      </c>
      <c r="G97" s="14">
        <v>240</v>
      </c>
      <c r="H97" s="28">
        <v>172</v>
      </c>
      <c r="I97" s="136">
        <v>183</v>
      </c>
      <c r="J97" s="27" t="s">
        <v>1881</v>
      </c>
      <c r="K97" s="28">
        <v>2970</v>
      </c>
      <c r="L97" s="28" t="s">
        <v>566</v>
      </c>
      <c r="M97" s="38" t="s">
        <v>1830</v>
      </c>
      <c r="N97" s="100" t="s">
        <v>1831</v>
      </c>
      <c r="O97" s="153" t="s">
        <v>1260</v>
      </c>
      <c r="P97" s="153" t="s">
        <v>1260</v>
      </c>
    </row>
    <row r="98" spans="3:16" ht="15.75" thickBot="1">
      <c r="C98" s="2"/>
      <c r="D98" s="13" t="s">
        <v>1918</v>
      </c>
      <c r="E98" s="14">
        <v>185</v>
      </c>
      <c r="F98" s="15">
        <v>250</v>
      </c>
      <c r="G98" s="14">
        <v>226</v>
      </c>
      <c r="H98" s="28">
        <v>152</v>
      </c>
      <c r="I98" s="136">
        <v>162</v>
      </c>
      <c r="J98" s="27" t="s">
        <v>1881</v>
      </c>
      <c r="K98" s="28">
        <v>2970</v>
      </c>
      <c r="L98" s="28" t="s">
        <v>566</v>
      </c>
      <c r="M98" s="38" t="s">
        <v>1830</v>
      </c>
      <c r="N98" s="100" t="s">
        <v>1831</v>
      </c>
      <c r="O98" s="153" t="s">
        <v>1260</v>
      </c>
      <c r="P98" s="153" t="s">
        <v>1260</v>
      </c>
    </row>
    <row r="99" spans="3:16" ht="15.75" thickBot="1">
      <c r="C99" s="2"/>
      <c r="D99" s="13" t="s">
        <v>1919</v>
      </c>
      <c r="E99" s="14">
        <v>132</v>
      </c>
      <c r="F99" s="15">
        <v>180</v>
      </c>
      <c r="G99" s="14">
        <v>209</v>
      </c>
      <c r="H99" s="28">
        <v>115</v>
      </c>
      <c r="I99" s="136">
        <v>122</v>
      </c>
      <c r="J99" s="27" t="s">
        <v>1881</v>
      </c>
      <c r="K99" s="28">
        <v>2970</v>
      </c>
      <c r="L99" s="28" t="s">
        <v>566</v>
      </c>
      <c r="M99" s="38" t="s">
        <v>1830</v>
      </c>
      <c r="N99" s="100" t="s">
        <v>1831</v>
      </c>
      <c r="O99" s="153" t="s">
        <v>1260</v>
      </c>
      <c r="P99" s="153" t="s">
        <v>1260</v>
      </c>
    </row>
    <row r="100" spans="3:16" ht="15.75" thickBot="1">
      <c r="C100" s="2"/>
      <c r="D100" s="13" t="s">
        <v>1920</v>
      </c>
      <c r="E100" s="14">
        <v>75</v>
      </c>
      <c r="F100" s="15">
        <v>100</v>
      </c>
      <c r="G100" s="14">
        <v>192</v>
      </c>
      <c r="H100" s="28">
        <v>74</v>
      </c>
      <c r="I100" s="136">
        <v>78</v>
      </c>
      <c r="J100" s="27" t="s">
        <v>1881</v>
      </c>
      <c r="K100" s="28">
        <v>2970</v>
      </c>
      <c r="L100" s="28" t="s">
        <v>566</v>
      </c>
      <c r="M100" s="38" t="s">
        <v>1830</v>
      </c>
      <c r="N100" s="100" t="s">
        <v>1831</v>
      </c>
      <c r="O100" s="153" t="s">
        <v>1260</v>
      </c>
      <c r="P100" s="153" t="s">
        <v>1260</v>
      </c>
    </row>
    <row r="101" spans="3:16" ht="15.75" thickBot="1">
      <c r="C101" s="2"/>
      <c r="D101" s="13" t="s">
        <v>1921</v>
      </c>
      <c r="E101" s="14">
        <v>45</v>
      </c>
      <c r="F101" s="15">
        <v>60</v>
      </c>
      <c r="G101" s="14">
        <v>190</v>
      </c>
      <c r="H101" s="28">
        <v>54</v>
      </c>
      <c r="I101" s="136">
        <v>61</v>
      </c>
      <c r="J101" s="27" t="s">
        <v>1881</v>
      </c>
      <c r="K101" s="28">
        <v>1480</v>
      </c>
      <c r="L101" s="28" t="s">
        <v>566</v>
      </c>
      <c r="M101" s="38" t="s">
        <v>1830</v>
      </c>
      <c r="N101" s="100" t="s">
        <v>1831</v>
      </c>
      <c r="O101" s="153" t="s">
        <v>1260</v>
      </c>
      <c r="P101" s="153" t="s">
        <v>1260</v>
      </c>
    </row>
    <row r="102" spans="3:16" ht="15.75" thickBot="1">
      <c r="C102" s="2"/>
      <c r="D102" s="13" t="s">
        <v>1922</v>
      </c>
      <c r="E102" s="14">
        <v>37</v>
      </c>
      <c r="F102" s="15">
        <v>50</v>
      </c>
      <c r="G102" s="14">
        <v>179</v>
      </c>
      <c r="H102" s="28">
        <v>48</v>
      </c>
      <c r="I102" s="136">
        <v>54</v>
      </c>
      <c r="J102" s="27" t="s">
        <v>1881</v>
      </c>
      <c r="K102" s="28">
        <v>1480</v>
      </c>
      <c r="L102" s="28" t="s">
        <v>566</v>
      </c>
      <c r="M102" s="38" t="s">
        <v>1830</v>
      </c>
      <c r="N102" s="100" t="s">
        <v>1831</v>
      </c>
      <c r="O102" s="153" t="s">
        <v>1260</v>
      </c>
      <c r="P102" s="153" t="s">
        <v>1260</v>
      </c>
    </row>
    <row r="103" spans="3:16" ht="15.75" thickBot="1">
      <c r="C103" s="2"/>
      <c r="D103" s="13" t="s">
        <v>1923</v>
      </c>
      <c r="E103" s="14">
        <v>30</v>
      </c>
      <c r="F103" s="15">
        <v>40</v>
      </c>
      <c r="G103" s="14">
        <v>165</v>
      </c>
      <c r="H103" s="28">
        <v>36</v>
      </c>
      <c r="I103" s="136">
        <v>41</v>
      </c>
      <c r="J103" s="27" t="s">
        <v>1881</v>
      </c>
      <c r="K103" s="28">
        <v>1480</v>
      </c>
      <c r="L103" s="28" t="s">
        <v>566</v>
      </c>
      <c r="M103" s="38" t="s">
        <v>1830</v>
      </c>
      <c r="N103" s="100" t="s">
        <v>1831</v>
      </c>
      <c r="O103" s="153" t="s">
        <v>1260</v>
      </c>
      <c r="P103" s="153" t="s">
        <v>1260</v>
      </c>
    </row>
    <row r="104" spans="3:16" ht="15.75" thickBot="1">
      <c r="C104" s="2"/>
      <c r="D104" s="13" t="s">
        <v>1924</v>
      </c>
      <c r="E104" s="14">
        <v>18.5</v>
      </c>
      <c r="F104" s="15">
        <v>25</v>
      </c>
      <c r="G104" s="14">
        <v>152</v>
      </c>
      <c r="H104" s="28">
        <v>23</v>
      </c>
      <c r="I104" s="136">
        <v>26</v>
      </c>
      <c r="J104" s="27" t="s">
        <v>1881</v>
      </c>
      <c r="K104" s="28">
        <v>1480</v>
      </c>
      <c r="L104" s="28" t="s">
        <v>566</v>
      </c>
      <c r="M104" s="38" t="s">
        <v>1830</v>
      </c>
      <c r="N104" s="100" t="s">
        <v>1831</v>
      </c>
      <c r="O104" s="153" t="s">
        <v>1260</v>
      </c>
      <c r="P104" s="153" t="s">
        <v>1260</v>
      </c>
    </row>
    <row r="105" spans="3:16" ht="15.75" thickBot="1">
      <c r="C105" s="2"/>
      <c r="D105" s="13" t="s">
        <v>1925</v>
      </c>
      <c r="E105" s="14">
        <v>37</v>
      </c>
      <c r="F105" s="15">
        <v>50</v>
      </c>
      <c r="G105" s="14">
        <v>160</v>
      </c>
      <c r="H105" s="28">
        <v>49</v>
      </c>
      <c r="I105" s="136">
        <v>55</v>
      </c>
      <c r="J105" s="27" t="s">
        <v>1881</v>
      </c>
      <c r="K105" s="28">
        <v>1480</v>
      </c>
      <c r="L105" s="28" t="s">
        <v>566</v>
      </c>
      <c r="M105" s="38" t="s">
        <v>1830</v>
      </c>
      <c r="N105" s="100" t="s">
        <v>1831</v>
      </c>
      <c r="O105" s="153" t="s">
        <v>1260</v>
      </c>
      <c r="P105" s="153" t="s">
        <v>1260</v>
      </c>
    </row>
    <row r="106" spans="3:16" ht="15.75" thickBot="1">
      <c r="C106" s="2"/>
      <c r="D106" s="13" t="s">
        <v>1926</v>
      </c>
      <c r="E106" s="14">
        <v>30</v>
      </c>
      <c r="F106" s="15">
        <v>40</v>
      </c>
      <c r="G106" s="14">
        <v>150</v>
      </c>
      <c r="H106" s="28">
        <v>43</v>
      </c>
      <c r="I106" s="136">
        <v>49</v>
      </c>
      <c r="J106" s="27" t="s">
        <v>1881</v>
      </c>
      <c r="K106" s="28">
        <v>1480</v>
      </c>
      <c r="L106" s="28" t="s">
        <v>566</v>
      </c>
      <c r="M106" s="38" t="s">
        <v>1830</v>
      </c>
      <c r="N106" s="100" t="s">
        <v>1831</v>
      </c>
      <c r="O106" s="153" t="s">
        <v>1260</v>
      </c>
      <c r="P106" s="153" t="s">
        <v>1260</v>
      </c>
    </row>
    <row r="107" spans="3:16" ht="15.75" thickBot="1">
      <c r="C107" s="2"/>
      <c r="D107" s="13" t="s">
        <v>1927</v>
      </c>
      <c r="E107" s="14">
        <v>22</v>
      </c>
      <c r="F107" s="15">
        <v>30</v>
      </c>
      <c r="G107" s="14">
        <v>139</v>
      </c>
      <c r="H107" s="28">
        <v>33</v>
      </c>
      <c r="I107" s="136">
        <v>37</v>
      </c>
      <c r="J107" s="27" t="s">
        <v>1881</v>
      </c>
      <c r="K107" s="28">
        <v>1480</v>
      </c>
      <c r="L107" s="28" t="s">
        <v>566</v>
      </c>
      <c r="M107" s="38" t="s">
        <v>1830</v>
      </c>
      <c r="N107" s="100" t="s">
        <v>1831</v>
      </c>
      <c r="O107" s="153" t="s">
        <v>1260</v>
      </c>
      <c r="P107" s="153" t="s">
        <v>1260</v>
      </c>
    </row>
    <row r="108" spans="3:16" ht="15.75" thickBot="1">
      <c r="C108" s="2"/>
      <c r="D108" s="13" t="s">
        <v>1928</v>
      </c>
      <c r="E108" s="14">
        <v>15</v>
      </c>
      <c r="F108" s="15">
        <v>20</v>
      </c>
      <c r="G108" s="14">
        <v>128</v>
      </c>
      <c r="H108" s="28">
        <v>21</v>
      </c>
      <c r="I108" s="136">
        <v>24</v>
      </c>
      <c r="J108" s="27" t="s">
        <v>1881</v>
      </c>
      <c r="K108" s="28">
        <v>1480</v>
      </c>
      <c r="L108" s="28" t="s">
        <v>566</v>
      </c>
      <c r="M108" s="38" t="s">
        <v>1830</v>
      </c>
      <c r="N108" s="100" t="s">
        <v>1831</v>
      </c>
      <c r="O108" s="153" t="s">
        <v>1260</v>
      </c>
      <c r="P108" s="153" t="s">
        <v>1260</v>
      </c>
    </row>
    <row r="109" spans="3:16" ht="15.75" thickBot="1">
      <c r="C109" s="2"/>
      <c r="D109" s="13" t="s">
        <v>1929</v>
      </c>
      <c r="E109" s="14">
        <v>45</v>
      </c>
      <c r="F109" s="15">
        <v>60</v>
      </c>
      <c r="G109" s="14">
        <v>280</v>
      </c>
      <c r="H109" s="28">
        <v>42</v>
      </c>
      <c r="I109" s="136">
        <v>47</v>
      </c>
      <c r="J109" s="27" t="s">
        <v>714</v>
      </c>
      <c r="K109" s="28">
        <v>2970</v>
      </c>
      <c r="L109" s="28" t="s">
        <v>566</v>
      </c>
      <c r="M109" s="38" t="s">
        <v>1830</v>
      </c>
      <c r="N109" s="100" t="s">
        <v>1831</v>
      </c>
      <c r="O109" s="153" t="s">
        <v>1260</v>
      </c>
      <c r="P109" s="153" t="s">
        <v>1260</v>
      </c>
    </row>
    <row r="110" spans="3:16" ht="15.75" thickBot="1">
      <c r="C110" s="2"/>
      <c r="D110" s="13" t="s">
        <v>1930</v>
      </c>
      <c r="E110" s="14">
        <v>37</v>
      </c>
      <c r="F110" s="15">
        <v>50</v>
      </c>
      <c r="G110" s="14">
        <v>263</v>
      </c>
      <c r="H110" s="28">
        <v>37</v>
      </c>
      <c r="I110" s="136">
        <v>42</v>
      </c>
      <c r="J110" s="27" t="s">
        <v>714</v>
      </c>
      <c r="K110" s="28">
        <v>2970</v>
      </c>
      <c r="L110" s="28" t="s">
        <v>566</v>
      </c>
      <c r="M110" s="38" t="s">
        <v>1830</v>
      </c>
      <c r="N110" s="100" t="s">
        <v>1831</v>
      </c>
      <c r="O110" s="153" t="s">
        <v>1260</v>
      </c>
      <c r="P110" s="153" t="s">
        <v>1260</v>
      </c>
    </row>
    <row r="111" spans="3:16" ht="15.75" thickBot="1">
      <c r="C111" s="2"/>
      <c r="D111" s="13" t="s">
        <v>1931</v>
      </c>
      <c r="E111" s="14">
        <v>30</v>
      </c>
      <c r="F111" s="15">
        <v>40</v>
      </c>
      <c r="G111" s="14">
        <v>246</v>
      </c>
      <c r="H111" s="28">
        <v>29</v>
      </c>
      <c r="I111" s="136">
        <v>32</v>
      </c>
      <c r="J111" s="27" t="s">
        <v>714</v>
      </c>
      <c r="K111" s="28">
        <v>2970</v>
      </c>
      <c r="L111" s="28" t="s">
        <v>566</v>
      </c>
      <c r="M111" s="38" t="s">
        <v>1830</v>
      </c>
      <c r="N111" s="100" t="s">
        <v>1831</v>
      </c>
      <c r="O111" s="153" t="s">
        <v>1260</v>
      </c>
      <c r="P111" s="153" t="s">
        <v>1260</v>
      </c>
    </row>
    <row r="112" spans="3:16" ht="15.75" thickBot="1">
      <c r="C112" s="2"/>
      <c r="D112" s="13" t="s">
        <v>1932</v>
      </c>
      <c r="E112" s="14">
        <v>18.5</v>
      </c>
      <c r="F112" s="15">
        <v>25</v>
      </c>
      <c r="G112" s="14">
        <v>229</v>
      </c>
      <c r="H112" s="28">
        <v>19</v>
      </c>
      <c r="I112" s="136">
        <v>22</v>
      </c>
      <c r="J112" s="27" t="s">
        <v>714</v>
      </c>
      <c r="K112" s="28">
        <v>2970</v>
      </c>
      <c r="L112" s="28" t="s">
        <v>566</v>
      </c>
      <c r="M112" s="38" t="s">
        <v>1830</v>
      </c>
      <c r="N112" s="100" t="s">
        <v>1831</v>
      </c>
      <c r="O112" s="153" t="s">
        <v>1260</v>
      </c>
      <c r="P112" s="153" t="s">
        <v>1260</v>
      </c>
    </row>
    <row r="113" spans="3:16" ht="15.75" thickBot="1">
      <c r="C113" s="2"/>
      <c r="D113" s="13" t="s">
        <v>1933</v>
      </c>
      <c r="E113" s="14">
        <v>37</v>
      </c>
      <c r="F113" s="15">
        <v>50</v>
      </c>
      <c r="G113" s="14">
        <v>240</v>
      </c>
      <c r="H113" s="28">
        <v>38</v>
      </c>
      <c r="I113" s="136">
        <v>43</v>
      </c>
      <c r="J113" s="27" t="s">
        <v>714</v>
      </c>
      <c r="K113" s="28">
        <v>2970</v>
      </c>
      <c r="L113" s="28" t="s">
        <v>566</v>
      </c>
      <c r="M113" s="38" t="s">
        <v>1830</v>
      </c>
      <c r="N113" s="100" t="s">
        <v>1831</v>
      </c>
      <c r="O113" s="153" t="s">
        <v>1260</v>
      </c>
      <c r="P113" s="153" t="s">
        <v>1260</v>
      </c>
    </row>
    <row r="114" spans="3:16" ht="15.75" thickBot="1">
      <c r="C114" s="2"/>
      <c r="D114" s="13" t="s">
        <v>1934</v>
      </c>
      <c r="E114" s="14">
        <v>30</v>
      </c>
      <c r="F114" s="15">
        <v>40</v>
      </c>
      <c r="G114" s="14">
        <v>226</v>
      </c>
      <c r="H114" s="28">
        <v>34</v>
      </c>
      <c r="I114" s="136">
        <v>38</v>
      </c>
      <c r="J114" s="27" t="s">
        <v>714</v>
      </c>
      <c r="K114" s="28">
        <v>2970</v>
      </c>
      <c r="L114" s="28" t="s">
        <v>566</v>
      </c>
      <c r="M114" s="38" t="s">
        <v>1830</v>
      </c>
      <c r="N114" s="100" t="s">
        <v>1831</v>
      </c>
      <c r="O114" s="153" t="s">
        <v>1260</v>
      </c>
      <c r="P114" s="153" t="s">
        <v>1260</v>
      </c>
    </row>
    <row r="115" spans="3:16" ht="15.75" thickBot="1">
      <c r="C115" s="2"/>
      <c r="D115" s="13" t="s">
        <v>1935</v>
      </c>
      <c r="E115" s="14">
        <v>22</v>
      </c>
      <c r="F115" s="15">
        <v>30</v>
      </c>
      <c r="G115" s="14">
        <v>211</v>
      </c>
      <c r="H115" s="28">
        <v>26</v>
      </c>
      <c r="I115" s="136">
        <v>29</v>
      </c>
      <c r="J115" s="27" t="s">
        <v>714</v>
      </c>
      <c r="K115" s="28">
        <v>2970</v>
      </c>
      <c r="L115" s="28" t="s">
        <v>566</v>
      </c>
      <c r="M115" s="38" t="s">
        <v>1830</v>
      </c>
      <c r="N115" s="100" t="s">
        <v>1831</v>
      </c>
      <c r="O115" s="153" t="s">
        <v>1260</v>
      </c>
      <c r="P115" s="153" t="s">
        <v>1260</v>
      </c>
    </row>
    <row r="116" spans="3:16" ht="15.75" thickBot="1">
      <c r="C116" s="2"/>
      <c r="D116" s="13" t="s">
        <v>1936</v>
      </c>
      <c r="E116" s="14">
        <v>15</v>
      </c>
      <c r="F116" s="15">
        <v>20</v>
      </c>
      <c r="G116" s="14">
        <v>197</v>
      </c>
      <c r="H116" s="28">
        <v>17</v>
      </c>
      <c r="I116" s="136">
        <v>20</v>
      </c>
      <c r="J116" s="27" t="s">
        <v>714</v>
      </c>
      <c r="K116" s="28">
        <v>2970</v>
      </c>
      <c r="L116" s="28" t="s">
        <v>566</v>
      </c>
      <c r="M116" s="38" t="s">
        <v>1830</v>
      </c>
      <c r="N116" s="100" t="s">
        <v>1831</v>
      </c>
      <c r="O116" s="153" t="s">
        <v>1260</v>
      </c>
      <c r="P116" s="153" t="s">
        <v>1260</v>
      </c>
    </row>
    <row r="117" spans="3:16" ht="15.75" thickBot="1">
      <c r="C117" s="2"/>
      <c r="D117" s="13" t="s">
        <v>1937</v>
      </c>
      <c r="E117" s="14">
        <v>11</v>
      </c>
      <c r="F117" s="15">
        <v>15</v>
      </c>
      <c r="G117" s="14">
        <v>160</v>
      </c>
      <c r="H117" s="28">
        <v>13</v>
      </c>
      <c r="I117" s="136">
        <v>15</v>
      </c>
      <c r="J117" s="27" t="s">
        <v>714</v>
      </c>
      <c r="K117" s="28">
        <v>1480</v>
      </c>
      <c r="L117" s="28" t="s">
        <v>566</v>
      </c>
      <c r="M117" s="38" t="s">
        <v>1830</v>
      </c>
      <c r="N117" s="100" t="s">
        <v>1831</v>
      </c>
      <c r="O117" s="153" t="s">
        <v>1260</v>
      </c>
      <c r="P117" s="153" t="s">
        <v>1260</v>
      </c>
    </row>
    <row r="118" spans="3:16" ht="15.75" thickBot="1">
      <c r="C118" s="2"/>
      <c r="D118" s="13" t="s">
        <v>1938</v>
      </c>
      <c r="E118" s="14">
        <v>7.5</v>
      </c>
      <c r="F118" s="15">
        <v>10</v>
      </c>
      <c r="G118" s="14">
        <v>150</v>
      </c>
      <c r="H118" s="28">
        <v>11</v>
      </c>
      <c r="I118" s="136">
        <v>13</v>
      </c>
      <c r="J118" s="27" t="s">
        <v>714</v>
      </c>
      <c r="K118" s="28">
        <v>1480</v>
      </c>
      <c r="L118" s="28" t="s">
        <v>566</v>
      </c>
      <c r="M118" s="38" t="s">
        <v>1830</v>
      </c>
      <c r="N118" s="100" t="s">
        <v>1831</v>
      </c>
      <c r="O118" s="153" t="s">
        <v>1260</v>
      </c>
      <c r="P118" s="153" t="s">
        <v>1260</v>
      </c>
    </row>
    <row r="119" spans="3:16" ht="15.75" thickBot="1">
      <c r="C119" s="2"/>
      <c r="D119" s="13" t="s">
        <v>1939</v>
      </c>
      <c r="E119" s="14">
        <v>5.5</v>
      </c>
      <c r="F119" s="15">
        <v>7.5</v>
      </c>
      <c r="G119" s="14">
        <v>141</v>
      </c>
      <c r="H119" s="28">
        <v>9</v>
      </c>
      <c r="I119" s="136">
        <v>10</v>
      </c>
      <c r="J119" s="27" t="s">
        <v>714</v>
      </c>
      <c r="K119" s="28">
        <v>1480</v>
      </c>
      <c r="L119" s="28" t="s">
        <v>566</v>
      </c>
      <c r="M119" s="38" t="s">
        <v>1830</v>
      </c>
      <c r="N119" s="100" t="s">
        <v>1831</v>
      </c>
      <c r="O119" s="153" t="s">
        <v>1260</v>
      </c>
      <c r="P119" s="153" t="s">
        <v>1260</v>
      </c>
    </row>
    <row r="120" spans="3:16" ht="15.75" thickBot="1">
      <c r="C120" s="2"/>
      <c r="D120" s="13" t="s">
        <v>1940</v>
      </c>
      <c r="E120" s="14">
        <v>4</v>
      </c>
      <c r="F120" s="15">
        <v>5.5</v>
      </c>
      <c r="G120" s="14">
        <v>131</v>
      </c>
      <c r="H120" s="28">
        <v>6</v>
      </c>
      <c r="I120" s="136">
        <v>7</v>
      </c>
      <c r="J120" s="27" t="s">
        <v>714</v>
      </c>
      <c r="K120" s="28">
        <v>1480</v>
      </c>
      <c r="L120" s="28" t="s">
        <v>566</v>
      </c>
      <c r="M120" s="38" t="s">
        <v>1830</v>
      </c>
      <c r="N120" s="100" t="s">
        <v>1831</v>
      </c>
      <c r="O120" s="153" t="s">
        <v>1260</v>
      </c>
      <c r="P120" s="153" t="s">
        <v>1260</v>
      </c>
    </row>
    <row r="121" spans="3:16" ht="15.75" thickBot="1">
      <c r="C121" s="2"/>
      <c r="D121" s="13" t="s">
        <v>1941</v>
      </c>
      <c r="E121" s="14">
        <v>7.5</v>
      </c>
      <c r="F121" s="15">
        <v>10</v>
      </c>
      <c r="G121" s="14">
        <v>137</v>
      </c>
      <c r="H121" s="28">
        <v>12</v>
      </c>
      <c r="I121" s="136">
        <v>14</v>
      </c>
      <c r="J121" s="27" t="s">
        <v>714</v>
      </c>
      <c r="K121" s="28">
        <v>1480</v>
      </c>
      <c r="L121" s="28" t="s">
        <v>566</v>
      </c>
      <c r="M121" s="38" t="s">
        <v>1830</v>
      </c>
      <c r="N121" s="100" t="s">
        <v>1831</v>
      </c>
      <c r="O121" s="153" t="s">
        <v>1260</v>
      </c>
      <c r="P121" s="153" t="s">
        <v>1260</v>
      </c>
    </row>
    <row r="122" spans="3:16" ht="15.75" thickBot="1">
      <c r="C122" s="2"/>
      <c r="D122" s="13" t="s">
        <v>1942</v>
      </c>
      <c r="E122" s="14">
        <v>5.5</v>
      </c>
      <c r="F122" s="15">
        <v>7.5</v>
      </c>
      <c r="G122" s="14">
        <v>129</v>
      </c>
      <c r="H122" s="28">
        <v>10</v>
      </c>
      <c r="I122" s="136">
        <v>12</v>
      </c>
      <c r="J122" s="27" t="s">
        <v>714</v>
      </c>
      <c r="K122" s="28">
        <v>1480</v>
      </c>
      <c r="L122" s="28" t="s">
        <v>566</v>
      </c>
      <c r="M122" s="38" t="s">
        <v>1830</v>
      </c>
      <c r="N122" s="100" t="s">
        <v>1831</v>
      </c>
      <c r="O122" s="153" t="s">
        <v>1260</v>
      </c>
      <c r="P122" s="153" t="s">
        <v>1260</v>
      </c>
    </row>
    <row r="123" spans="3:16" ht="15.75" thickBot="1">
      <c r="C123" s="2"/>
      <c r="D123" s="13" t="s">
        <v>1943</v>
      </c>
      <c r="E123" s="14">
        <v>4</v>
      </c>
      <c r="F123" s="15">
        <v>5.5</v>
      </c>
      <c r="G123" s="14">
        <v>121</v>
      </c>
      <c r="H123" s="28">
        <v>8</v>
      </c>
      <c r="I123" s="136">
        <v>9</v>
      </c>
      <c r="J123" s="27" t="s">
        <v>714</v>
      </c>
      <c r="K123" s="28">
        <v>1480</v>
      </c>
      <c r="L123" s="28" t="s">
        <v>566</v>
      </c>
      <c r="M123" s="38" t="s">
        <v>1830</v>
      </c>
      <c r="N123" s="100" t="s">
        <v>1831</v>
      </c>
      <c r="O123" s="153" t="s">
        <v>1260</v>
      </c>
      <c r="P123" s="153" t="s">
        <v>1260</v>
      </c>
    </row>
    <row r="124" spans="3:16" ht="15.75" thickBot="1">
      <c r="C124" s="2"/>
      <c r="D124" s="13" t="s">
        <v>1944</v>
      </c>
      <c r="E124" s="14">
        <v>3</v>
      </c>
      <c r="F124" s="15">
        <v>4</v>
      </c>
      <c r="G124" s="14">
        <v>112</v>
      </c>
      <c r="H124" s="28">
        <v>5</v>
      </c>
      <c r="I124" s="136">
        <v>6</v>
      </c>
      <c r="J124" s="27" t="s">
        <v>714</v>
      </c>
      <c r="K124" s="28">
        <v>1480</v>
      </c>
      <c r="L124" s="28" t="s">
        <v>566</v>
      </c>
      <c r="M124" s="38" t="s">
        <v>1830</v>
      </c>
      <c r="N124" s="100" t="s">
        <v>1831</v>
      </c>
      <c r="O124" s="153" t="s">
        <v>1260</v>
      </c>
      <c r="P124" s="153" t="s">
        <v>1260</v>
      </c>
    </row>
    <row r="125" spans="3:16" ht="15.75" thickBot="1">
      <c r="C125" s="2"/>
      <c r="D125" s="13" t="s">
        <v>1945</v>
      </c>
      <c r="E125" s="14">
        <v>132</v>
      </c>
      <c r="F125" s="15">
        <v>180</v>
      </c>
      <c r="G125" s="14">
        <v>540</v>
      </c>
      <c r="H125" s="28">
        <v>63</v>
      </c>
      <c r="I125" s="136">
        <v>77</v>
      </c>
      <c r="J125" s="27" t="s">
        <v>1946</v>
      </c>
      <c r="K125" s="28">
        <v>2970</v>
      </c>
      <c r="L125" s="28" t="s">
        <v>566</v>
      </c>
      <c r="M125" s="38" t="s">
        <v>1830</v>
      </c>
      <c r="N125" s="100" t="s">
        <v>1831</v>
      </c>
      <c r="O125" s="153" t="s">
        <v>1260</v>
      </c>
      <c r="P125" s="153" t="s">
        <v>1260</v>
      </c>
    </row>
    <row r="126" spans="3:16" ht="15.75" thickBot="1">
      <c r="C126" s="2"/>
      <c r="D126" s="13" t="s">
        <v>1947</v>
      </c>
      <c r="E126" s="14">
        <v>110</v>
      </c>
      <c r="F126" s="15">
        <v>150</v>
      </c>
      <c r="G126" s="14">
        <v>508</v>
      </c>
      <c r="H126" s="28">
        <v>56</v>
      </c>
      <c r="I126" s="136">
        <v>68</v>
      </c>
      <c r="J126" s="27" t="s">
        <v>1946</v>
      </c>
      <c r="K126" s="28">
        <v>2970</v>
      </c>
      <c r="L126" s="28" t="s">
        <v>566</v>
      </c>
      <c r="M126" s="38" t="s">
        <v>1830</v>
      </c>
      <c r="N126" s="100" t="s">
        <v>1831</v>
      </c>
      <c r="O126" s="153" t="s">
        <v>1260</v>
      </c>
      <c r="P126" s="153" t="s">
        <v>1260</v>
      </c>
    </row>
    <row r="127" spans="3:16" ht="15.75" thickBot="1">
      <c r="C127" s="2"/>
      <c r="D127" s="13" t="s">
        <v>1948</v>
      </c>
      <c r="E127" s="14">
        <v>75</v>
      </c>
      <c r="F127" s="15">
        <v>100</v>
      </c>
      <c r="G127" s="14">
        <v>475</v>
      </c>
      <c r="H127" s="28">
        <v>43</v>
      </c>
      <c r="I127" s="136">
        <v>53</v>
      </c>
      <c r="J127" s="27" t="s">
        <v>1946</v>
      </c>
      <c r="K127" s="28">
        <v>2970</v>
      </c>
      <c r="L127" s="28" t="s">
        <v>566</v>
      </c>
      <c r="M127" s="38" t="s">
        <v>1830</v>
      </c>
      <c r="N127" s="100" t="s">
        <v>1831</v>
      </c>
      <c r="O127" s="153" t="s">
        <v>1260</v>
      </c>
      <c r="P127" s="153" t="s">
        <v>1260</v>
      </c>
    </row>
    <row r="128" spans="3:16" ht="15.75" thickBot="1">
      <c r="C128" s="2"/>
      <c r="D128" s="13" t="s">
        <v>1949</v>
      </c>
      <c r="E128" s="14">
        <v>55</v>
      </c>
      <c r="F128" s="15">
        <v>75</v>
      </c>
      <c r="G128" s="14">
        <v>442</v>
      </c>
      <c r="H128" s="28">
        <v>29</v>
      </c>
      <c r="I128" s="136">
        <v>35</v>
      </c>
      <c r="J128" s="27" t="s">
        <v>1946</v>
      </c>
      <c r="K128" s="28">
        <v>2970</v>
      </c>
      <c r="L128" s="28" t="s">
        <v>566</v>
      </c>
      <c r="M128" s="38" t="s">
        <v>1830</v>
      </c>
      <c r="N128" s="100" t="s">
        <v>1831</v>
      </c>
      <c r="O128" s="153" t="s">
        <v>1260</v>
      </c>
      <c r="P128" s="153" t="s">
        <v>1260</v>
      </c>
    </row>
    <row r="129" spans="3:16" ht="15.75" thickBot="1">
      <c r="C129" s="2"/>
      <c r="D129" s="13" t="s">
        <v>1950</v>
      </c>
      <c r="E129" s="14">
        <v>110</v>
      </c>
      <c r="F129" s="15">
        <v>150</v>
      </c>
      <c r="G129" s="14">
        <v>465</v>
      </c>
      <c r="H129" s="28">
        <v>57</v>
      </c>
      <c r="I129" s="136">
        <v>69</v>
      </c>
      <c r="J129" s="27" t="s">
        <v>1946</v>
      </c>
      <c r="K129" s="28">
        <v>2970</v>
      </c>
      <c r="L129" s="28" t="s">
        <v>566</v>
      </c>
      <c r="M129" s="38" t="s">
        <v>1830</v>
      </c>
      <c r="N129" s="100" t="s">
        <v>1831</v>
      </c>
      <c r="O129" s="153" t="s">
        <v>1260</v>
      </c>
      <c r="P129" s="153" t="s">
        <v>1260</v>
      </c>
    </row>
    <row r="130" spans="3:16" ht="15.75" thickBot="1">
      <c r="C130" s="2"/>
      <c r="D130" s="13" t="s">
        <v>1951</v>
      </c>
      <c r="E130" s="14">
        <v>90</v>
      </c>
      <c r="F130" s="15">
        <v>125</v>
      </c>
      <c r="G130" s="14">
        <v>437</v>
      </c>
      <c r="H130" s="28">
        <v>50</v>
      </c>
      <c r="I130" s="136">
        <v>61</v>
      </c>
      <c r="J130" s="27" t="s">
        <v>1946</v>
      </c>
      <c r="K130" s="28">
        <v>2970</v>
      </c>
      <c r="L130" s="28" t="s">
        <v>566</v>
      </c>
      <c r="M130" s="38" t="s">
        <v>1830</v>
      </c>
      <c r="N130" s="100" t="s">
        <v>1831</v>
      </c>
      <c r="O130" s="153" t="s">
        <v>1260</v>
      </c>
      <c r="P130" s="153" t="s">
        <v>1260</v>
      </c>
    </row>
    <row r="131" spans="3:16" ht="15.75" thickBot="1">
      <c r="C131" s="2"/>
      <c r="D131" s="13" t="s">
        <v>1952</v>
      </c>
      <c r="E131" s="14">
        <v>75</v>
      </c>
      <c r="F131" s="15">
        <v>100</v>
      </c>
      <c r="G131" s="14">
        <v>409</v>
      </c>
      <c r="H131" s="28">
        <v>39</v>
      </c>
      <c r="I131" s="136">
        <v>48</v>
      </c>
      <c r="J131" s="27" t="s">
        <v>1946</v>
      </c>
      <c r="K131" s="28">
        <v>2970</v>
      </c>
      <c r="L131" s="28" t="s">
        <v>566</v>
      </c>
      <c r="M131" s="38" t="s">
        <v>1830</v>
      </c>
      <c r="N131" s="100" t="s">
        <v>1831</v>
      </c>
      <c r="O131" s="153" t="s">
        <v>1260</v>
      </c>
      <c r="P131" s="153" t="s">
        <v>1260</v>
      </c>
    </row>
    <row r="132" spans="3:16" ht="15.75" thickBot="1">
      <c r="C132" s="2"/>
      <c r="D132" s="13" t="s">
        <v>1953</v>
      </c>
      <c r="E132" s="14">
        <v>45</v>
      </c>
      <c r="F132" s="15">
        <v>60</v>
      </c>
      <c r="G132" s="14">
        <v>381</v>
      </c>
      <c r="H132" s="28">
        <v>26</v>
      </c>
      <c r="I132" s="136">
        <v>32</v>
      </c>
      <c r="J132" s="27" t="s">
        <v>1946</v>
      </c>
      <c r="K132" s="28">
        <v>2970</v>
      </c>
      <c r="L132" s="28" t="s">
        <v>566</v>
      </c>
      <c r="M132" s="38" t="s">
        <v>1830</v>
      </c>
      <c r="N132" s="100" t="s">
        <v>1831</v>
      </c>
      <c r="O132" s="153" t="s">
        <v>1260</v>
      </c>
      <c r="P132" s="153" t="s">
        <v>1260</v>
      </c>
    </row>
    <row r="133" spans="3:16" ht="15.75" thickBot="1">
      <c r="C133" s="2"/>
      <c r="D133" s="13" t="s">
        <v>1954</v>
      </c>
      <c r="E133" s="14">
        <v>18.5</v>
      </c>
      <c r="F133" s="15">
        <v>25</v>
      </c>
      <c r="G133" s="14">
        <v>269</v>
      </c>
      <c r="H133" s="28">
        <v>16</v>
      </c>
      <c r="I133" s="136">
        <v>19</v>
      </c>
      <c r="J133" s="27" t="s">
        <v>1946</v>
      </c>
      <c r="K133" s="28">
        <v>1480</v>
      </c>
      <c r="L133" s="28" t="s">
        <v>566</v>
      </c>
      <c r="M133" s="38" t="s">
        <v>1830</v>
      </c>
      <c r="N133" s="100" t="s">
        <v>1831</v>
      </c>
      <c r="O133" s="153" t="s">
        <v>1260</v>
      </c>
      <c r="P133" s="153" t="s">
        <v>1260</v>
      </c>
    </row>
    <row r="134" spans="3:16" ht="15.75" thickBot="1">
      <c r="C134" s="2"/>
      <c r="D134" s="13" t="s">
        <v>1955</v>
      </c>
      <c r="E134" s="14">
        <v>15</v>
      </c>
      <c r="F134" s="15">
        <v>20</v>
      </c>
      <c r="G134" s="14">
        <v>253</v>
      </c>
      <c r="H134" s="28">
        <v>14</v>
      </c>
      <c r="I134" s="136">
        <v>17</v>
      </c>
      <c r="J134" s="27" t="s">
        <v>1946</v>
      </c>
      <c r="K134" s="28">
        <v>1480</v>
      </c>
      <c r="L134" s="28" t="s">
        <v>566</v>
      </c>
      <c r="M134" s="38" t="s">
        <v>1830</v>
      </c>
      <c r="N134" s="100" t="s">
        <v>1831</v>
      </c>
      <c r="O134" s="153" t="s">
        <v>1260</v>
      </c>
      <c r="P134" s="153" t="s">
        <v>1260</v>
      </c>
    </row>
    <row r="135" spans="3:16" ht="15.75" thickBot="1">
      <c r="C135" s="2"/>
      <c r="D135" s="13" t="s">
        <v>1956</v>
      </c>
      <c r="E135" s="14">
        <v>11</v>
      </c>
      <c r="F135" s="15">
        <v>15</v>
      </c>
      <c r="G135" s="14">
        <v>237</v>
      </c>
      <c r="H135" s="28">
        <v>11</v>
      </c>
      <c r="I135" s="136">
        <v>13</v>
      </c>
      <c r="J135" s="27" t="s">
        <v>1946</v>
      </c>
      <c r="K135" s="28">
        <v>1480</v>
      </c>
      <c r="L135" s="28" t="s">
        <v>566</v>
      </c>
      <c r="M135" s="38" t="s">
        <v>1830</v>
      </c>
      <c r="N135" s="100" t="s">
        <v>1831</v>
      </c>
      <c r="O135" s="153" t="s">
        <v>1260</v>
      </c>
      <c r="P135" s="153" t="s">
        <v>1260</v>
      </c>
    </row>
    <row r="136" spans="3:16" ht="15.75" thickBot="1">
      <c r="C136" s="2"/>
      <c r="D136" s="13" t="s">
        <v>1957</v>
      </c>
      <c r="E136" s="14">
        <v>7.5</v>
      </c>
      <c r="F136" s="15">
        <v>10</v>
      </c>
      <c r="G136" s="14">
        <v>220</v>
      </c>
      <c r="H136" s="28">
        <v>7</v>
      </c>
      <c r="I136" s="136">
        <v>9</v>
      </c>
      <c r="J136" s="27" t="s">
        <v>1946</v>
      </c>
      <c r="K136" s="28">
        <v>1480</v>
      </c>
      <c r="L136" s="28" t="s">
        <v>566</v>
      </c>
      <c r="M136" s="38" t="s">
        <v>1830</v>
      </c>
      <c r="N136" s="100" t="s">
        <v>1831</v>
      </c>
      <c r="O136" s="153" t="s">
        <v>1260</v>
      </c>
      <c r="P136" s="153" t="s">
        <v>1260</v>
      </c>
    </row>
    <row r="137" spans="3:16" ht="15.75" thickBot="1">
      <c r="C137" s="2"/>
      <c r="D137" s="13" t="s">
        <v>1958</v>
      </c>
      <c r="E137" s="14">
        <v>15</v>
      </c>
      <c r="F137" s="15">
        <v>20</v>
      </c>
      <c r="G137" s="14">
        <v>232</v>
      </c>
      <c r="H137" s="28">
        <v>14</v>
      </c>
      <c r="I137" s="136">
        <v>17</v>
      </c>
      <c r="J137" s="27" t="s">
        <v>1946</v>
      </c>
      <c r="K137" s="28">
        <v>1480</v>
      </c>
      <c r="L137" s="28" t="s">
        <v>566</v>
      </c>
      <c r="M137" s="38" t="s">
        <v>1830</v>
      </c>
      <c r="N137" s="100" t="s">
        <v>1831</v>
      </c>
      <c r="O137" s="153" t="s">
        <v>1260</v>
      </c>
      <c r="P137" s="153" t="s">
        <v>1260</v>
      </c>
    </row>
    <row r="138" spans="3:16" ht="15.75" thickBot="1">
      <c r="C138" s="2"/>
      <c r="D138" s="13" t="s">
        <v>1959</v>
      </c>
      <c r="E138" s="14">
        <v>11</v>
      </c>
      <c r="F138" s="15">
        <v>15</v>
      </c>
      <c r="G138" s="14">
        <v>218</v>
      </c>
      <c r="H138" s="28">
        <v>12</v>
      </c>
      <c r="I138" s="136">
        <v>15</v>
      </c>
      <c r="J138" s="27" t="s">
        <v>1946</v>
      </c>
      <c r="K138" s="28">
        <v>1480</v>
      </c>
      <c r="L138" s="28" t="s">
        <v>566</v>
      </c>
      <c r="M138" s="38" t="s">
        <v>1830</v>
      </c>
      <c r="N138" s="100" t="s">
        <v>1831</v>
      </c>
      <c r="O138" s="153" t="s">
        <v>1260</v>
      </c>
      <c r="P138" s="153" t="s">
        <v>1260</v>
      </c>
    </row>
    <row r="139" spans="3:16" ht="15.75" thickBot="1">
      <c r="C139" s="2"/>
      <c r="D139" s="13" t="s">
        <v>1960</v>
      </c>
      <c r="E139" s="14">
        <v>7.5</v>
      </c>
      <c r="F139" s="15">
        <v>10</v>
      </c>
      <c r="G139" s="14">
        <v>204</v>
      </c>
      <c r="H139" s="28">
        <v>10</v>
      </c>
      <c r="I139" s="136">
        <v>12</v>
      </c>
      <c r="J139" s="27" t="s">
        <v>1946</v>
      </c>
      <c r="K139" s="28">
        <v>1480</v>
      </c>
      <c r="L139" s="28" t="s">
        <v>566</v>
      </c>
      <c r="M139" s="38" t="s">
        <v>1830</v>
      </c>
      <c r="N139" s="100" t="s">
        <v>1831</v>
      </c>
      <c r="O139" s="153" t="s">
        <v>1260</v>
      </c>
      <c r="P139" s="153" t="s">
        <v>1260</v>
      </c>
    </row>
    <row r="140" spans="3:16" ht="15.75" thickBot="1">
      <c r="C140" s="2"/>
      <c r="D140" s="13" t="s">
        <v>1961</v>
      </c>
      <c r="E140" s="14">
        <v>5.5</v>
      </c>
      <c r="F140" s="15">
        <v>7.5</v>
      </c>
      <c r="G140" s="14">
        <v>190</v>
      </c>
      <c r="H140" s="28">
        <v>6</v>
      </c>
      <c r="I140" s="136">
        <v>8</v>
      </c>
      <c r="J140" s="27" t="s">
        <v>1946</v>
      </c>
      <c r="K140" s="28">
        <v>1480</v>
      </c>
      <c r="L140" s="28" t="s">
        <v>566</v>
      </c>
      <c r="M140" s="38" t="s">
        <v>1830</v>
      </c>
      <c r="N140" s="100" t="s">
        <v>1831</v>
      </c>
      <c r="O140" s="153" t="s">
        <v>1260</v>
      </c>
      <c r="P140" s="153" t="s">
        <v>1260</v>
      </c>
    </row>
    <row r="141" spans="3:16" ht="15.75" thickBot="1">
      <c r="C141" s="2"/>
      <c r="D141" s="13" t="s">
        <v>1962</v>
      </c>
      <c r="E141" s="14">
        <v>250</v>
      </c>
      <c r="F141" s="15">
        <v>340</v>
      </c>
      <c r="G141" s="14">
        <v>540</v>
      </c>
      <c r="H141" s="28">
        <v>112</v>
      </c>
      <c r="I141" s="136">
        <v>127</v>
      </c>
      <c r="J141" s="27" t="s">
        <v>1946</v>
      </c>
      <c r="K141" s="28">
        <v>2970</v>
      </c>
      <c r="L141" s="28" t="s">
        <v>566</v>
      </c>
      <c r="M141" s="38" t="s">
        <v>1830</v>
      </c>
      <c r="N141" s="100" t="s">
        <v>1831</v>
      </c>
      <c r="O141" s="153" t="s">
        <v>1260</v>
      </c>
      <c r="P141" s="153" t="s">
        <v>1260</v>
      </c>
    </row>
    <row r="142" spans="3:16" ht="15.75" thickBot="1">
      <c r="C142" s="2"/>
      <c r="D142" s="13" t="s">
        <v>1963</v>
      </c>
      <c r="E142" s="14">
        <v>200</v>
      </c>
      <c r="F142" s="15">
        <v>270</v>
      </c>
      <c r="G142" s="14">
        <v>508</v>
      </c>
      <c r="H142" s="28">
        <v>99</v>
      </c>
      <c r="I142" s="136">
        <v>112</v>
      </c>
      <c r="J142" s="27" t="s">
        <v>1946</v>
      </c>
      <c r="K142" s="28">
        <v>2970</v>
      </c>
      <c r="L142" s="28" t="s">
        <v>566</v>
      </c>
      <c r="M142" s="38" t="s">
        <v>1830</v>
      </c>
      <c r="N142" s="100" t="s">
        <v>1831</v>
      </c>
      <c r="O142" s="153" t="s">
        <v>1260</v>
      </c>
      <c r="P142" s="153" t="s">
        <v>1260</v>
      </c>
    </row>
    <row r="143" spans="3:16" ht="15.75" thickBot="1">
      <c r="C143" s="2"/>
      <c r="D143" s="13" t="s">
        <v>1964</v>
      </c>
      <c r="E143" s="14">
        <v>160</v>
      </c>
      <c r="F143" s="15">
        <v>220</v>
      </c>
      <c r="G143" s="14">
        <v>475</v>
      </c>
      <c r="H143" s="28">
        <v>77</v>
      </c>
      <c r="I143" s="136">
        <v>87</v>
      </c>
      <c r="J143" s="27" t="s">
        <v>1946</v>
      </c>
      <c r="K143" s="28">
        <v>2970</v>
      </c>
      <c r="L143" s="28" t="s">
        <v>566</v>
      </c>
      <c r="M143" s="38" t="s">
        <v>1830</v>
      </c>
      <c r="N143" s="100" t="s">
        <v>1831</v>
      </c>
      <c r="O143" s="153" t="s">
        <v>1260</v>
      </c>
      <c r="P143" s="153" t="s">
        <v>1260</v>
      </c>
    </row>
    <row r="144" spans="3:16" ht="15.75" thickBot="1">
      <c r="C144" s="2"/>
      <c r="D144" s="13" t="s">
        <v>1965</v>
      </c>
      <c r="E144" s="14">
        <v>110</v>
      </c>
      <c r="F144" s="15">
        <v>150</v>
      </c>
      <c r="G144" s="14">
        <v>443</v>
      </c>
      <c r="H144" s="28">
        <v>52</v>
      </c>
      <c r="I144" s="136">
        <v>58</v>
      </c>
      <c r="J144" s="27" t="s">
        <v>1946</v>
      </c>
      <c r="K144" s="28">
        <v>2970</v>
      </c>
      <c r="L144" s="28" t="s">
        <v>566</v>
      </c>
      <c r="M144" s="38" t="s">
        <v>1830</v>
      </c>
      <c r="N144" s="100" t="s">
        <v>1831</v>
      </c>
      <c r="O144" s="153" t="s">
        <v>1260</v>
      </c>
      <c r="P144" s="153" t="s">
        <v>1260</v>
      </c>
    </row>
    <row r="145" spans="3:16" ht="15.75" thickBot="1">
      <c r="C145" s="2"/>
      <c r="D145" s="13" t="s">
        <v>1966</v>
      </c>
      <c r="E145" s="14">
        <v>200</v>
      </c>
      <c r="F145" s="15">
        <v>270</v>
      </c>
      <c r="G145" s="14">
        <v>465</v>
      </c>
      <c r="H145" s="28">
        <v>101</v>
      </c>
      <c r="I145" s="136">
        <v>115</v>
      </c>
      <c r="J145" s="27" t="s">
        <v>1946</v>
      </c>
      <c r="K145" s="28">
        <v>2970</v>
      </c>
      <c r="L145" s="28" t="s">
        <v>566</v>
      </c>
      <c r="M145" s="38" t="s">
        <v>1830</v>
      </c>
      <c r="N145" s="100" t="s">
        <v>1831</v>
      </c>
      <c r="O145" s="153" t="s">
        <v>1260</v>
      </c>
      <c r="P145" s="153" t="s">
        <v>1260</v>
      </c>
    </row>
    <row r="146" spans="3:16" ht="15.75" thickBot="1">
      <c r="C146" s="2"/>
      <c r="D146" s="13" t="s">
        <v>1967</v>
      </c>
      <c r="E146" s="14">
        <v>160</v>
      </c>
      <c r="F146" s="15">
        <v>220</v>
      </c>
      <c r="G146" s="14">
        <v>437</v>
      </c>
      <c r="H146" s="28">
        <v>89</v>
      </c>
      <c r="I146" s="136">
        <v>101</v>
      </c>
      <c r="J146" s="27" t="s">
        <v>1946</v>
      </c>
      <c r="K146" s="28">
        <v>2970</v>
      </c>
      <c r="L146" s="28" t="s">
        <v>566</v>
      </c>
      <c r="M146" s="38" t="s">
        <v>1830</v>
      </c>
      <c r="N146" s="100" t="s">
        <v>1831</v>
      </c>
      <c r="O146" s="153" t="s">
        <v>1260</v>
      </c>
      <c r="P146" s="153" t="s">
        <v>1260</v>
      </c>
    </row>
    <row r="147" spans="3:16" ht="15.75" thickBot="1">
      <c r="C147" s="2"/>
      <c r="D147" s="13" t="s">
        <v>1968</v>
      </c>
      <c r="E147" s="14">
        <v>132</v>
      </c>
      <c r="F147" s="15">
        <v>180</v>
      </c>
      <c r="G147" s="14">
        <v>409</v>
      </c>
      <c r="H147" s="28">
        <v>69</v>
      </c>
      <c r="I147" s="136">
        <v>78</v>
      </c>
      <c r="J147" s="27" t="s">
        <v>1946</v>
      </c>
      <c r="K147" s="28">
        <v>2970</v>
      </c>
      <c r="L147" s="28" t="s">
        <v>566</v>
      </c>
      <c r="M147" s="38" t="s">
        <v>1830</v>
      </c>
      <c r="N147" s="100" t="s">
        <v>1831</v>
      </c>
      <c r="O147" s="153" t="s">
        <v>1260</v>
      </c>
      <c r="P147" s="153" t="s">
        <v>1260</v>
      </c>
    </row>
    <row r="148" spans="3:16" ht="15.75" thickBot="1">
      <c r="C148" s="2"/>
      <c r="D148" s="13" t="s">
        <v>1969</v>
      </c>
      <c r="E148" s="14">
        <v>75</v>
      </c>
      <c r="F148" s="15">
        <v>100</v>
      </c>
      <c r="G148" s="14">
        <v>381</v>
      </c>
      <c r="H148" s="28">
        <v>47</v>
      </c>
      <c r="I148" s="136">
        <v>53</v>
      </c>
      <c r="J148" s="27" t="s">
        <v>1946</v>
      </c>
      <c r="K148" s="28">
        <v>2970</v>
      </c>
      <c r="L148" s="28" t="s">
        <v>566</v>
      </c>
      <c r="M148" s="38" t="s">
        <v>1830</v>
      </c>
      <c r="N148" s="100" t="s">
        <v>1831</v>
      </c>
      <c r="O148" s="153" t="s">
        <v>1260</v>
      </c>
      <c r="P148" s="153" t="s">
        <v>1260</v>
      </c>
    </row>
    <row r="149" spans="3:16" ht="15.75" thickBot="1">
      <c r="C149" s="2"/>
      <c r="D149" s="13" t="s">
        <v>1970</v>
      </c>
      <c r="E149" s="14">
        <v>37</v>
      </c>
      <c r="F149" s="15">
        <v>50</v>
      </c>
      <c r="G149" s="14">
        <v>269</v>
      </c>
      <c r="H149" s="28">
        <v>28</v>
      </c>
      <c r="I149" s="136">
        <v>32</v>
      </c>
      <c r="J149" s="27" t="s">
        <v>1946</v>
      </c>
      <c r="K149" s="28">
        <v>1480</v>
      </c>
      <c r="L149" s="28" t="s">
        <v>566</v>
      </c>
      <c r="M149" s="38" t="s">
        <v>1830</v>
      </c>
      <c r="N149" s="100" t="s">
        <v>1831</v>
      </c>
      <c r="O149" s="153" t="s">
        <v>1260</v>
      </c>
      <c r="P149" s="153" t="s">
        <v>1260</v>
      </c>
    </row>
    <row r="150" spans="3:16" ht="15.75" thickBot="1">
      <c r="C150" s="2"/>
      <c r="D150" s="13" t="s">
        <v>1971</v>
      </c>
      <c r="E150" s="14">
        <v>30</v>
      </c>
      <c r="F150" s="15">
        <v>40</v>
      </c>
      <c r="G150" s="14">
        <v>253</v>
      </c>
      <c r="H150" s="28">
        <v>25</v>
      </c>
      <c r="I150" s="136">
        <v>28</v>
      </c>
      <c r="J150" s="27" t="s">
        <v>1946</v>
      </c>
      <c r="K150" s="28">
        <v>1480</v>
      </c>
      <c r="L150" s="28" t="s">
        <v>566</v>
      </c>
      <c r="M150" s="38" t="s">
        <v>1830</v>
      </c>
      <c r="N150" s="100" t="s">
        <v>1831</v>
      </c>
      <c r="O150" s="153" t="s">
        <v>1260</v>
      </c>
      <c r="P150" s="153" t="s">
        <v>1260</v>
      </c>
    </row>
    <row r="151" spans="3:16" ht="15.75" thickBot="1">
      <c r="C151" s="2"/>
      <c r="D151" s="13" t="s">
        <v>1972</v>
      </c>
      <c r="E151" s="14">
        <v>18.5</v>
      </c>
      <c r="F151" s="15">
        <v>25</v>
      </c>
      <c r="G151" s="14">
        <v>237</v>
      </c>
      <c r="H151" s="28">
        <v>19</v>
      </c>
      <c r="I151" s="136">
        <v>22</v>
      </c>
      <c r="J151" s="27" t="s">
        <v>1946</v>
      </c>
      <c r="K151" s="28">
        <v>1480</v>
      </c>
      <c r="L151" s="28" t="s">
        <v>566</v>
      </c>
      <c r="M151" s="38" t="s">
        <v>1830</v>
      </c>
      <c r="N151" s="100" t="s">
        <v>1831</v>
      </c>
      <c r="O151" s="153" t="s">
        <v>1260</v>
      </c>
      <c r="P151" s="153" t="s">
        <v>1260</v>
      </c>
    </row>
    <row r="152" spans="3:16" ht="15.75" thickBot="1">
      <c r="C152" s="2"/>
      <c r="D152" s="13" t="s">
        <v>1973</v>
      </c>
      <c r="E152" s="14">
        <v>15</v>
      </c>
      <c r="F152" s="15">
        <v>20</v>
      </c>
      <c r="G152" s="14">
        <v>221</v>
      </c>
      <c r="H152" s="28">
        <v>13</v>
      </c>
      <c r="I152" s="136">
        <v>15</v>
      </c>
      <c r="J152" s="27" t="s">
        <v>1946</v>
      </c>
      <c r="K152" s="28">
        <v>1480</v>
      </c>
      <c r="L152" s="28" t="s">
        <v>566</v>
      </c>
      <c r="M152" s="38" t="s">
        <v>1830</v>
      </c>
      <c r="N152" s="100" t="s">
        <v>1831</v>
      </c>
      <c r="O152" s="153" t="s">
        <v>1260</v>
      </c>
      <c r="P152" s="153" t="s">
        <v>1260</v>
      </c>
    </row>
    <row r="153" spans="3:16" ht="15.75" thickBot="1">
      <c r="C153" s="2"/>
      <c r="D153" s="13" t="s">
        <v>1974</v>
      </c>
      <c r="E153" s="14">
        <v>30</v>
      </c>
      <c r="F153" s="15">
        <v>40</v>
      </c>
      <c r="G153" s="14">
        <v>232</v>
      </c>
      <c r="H153" s="28">
        <v>25</v>
      </c>
      <c r="I153" s="136">
        <v>28</v>
      </c>
      <c r="J153" s="27" t="s">
        <v>1946</v>
      </c>
      <c r="K153" s="28">
        <v>1480</v>
      </c>
      <c r="L153" s="28" t="s">
        <v>566</v>
      </c>
      <c r="M153" s="38" t="s">
        <v>1830</v>
      </c>
      <c r="N153" s="100" t="s">
        <v>1831</v>
      </c>
      <c r="O153" s="153" t="s">
        <v>1260</v>
      </c>
      <c r="P153" s="153" t="s">
        <v>1260</v>
      </c>
    </row>
    <row r="154" spans="3:16" ht="15.75" thickBot="1">
      <c r="C154" s="2"/>
      <c r="D154" s="13" t="s">
        <v>1975</v>
      </c>
      <c r="E154" s="14">
        <v>22</v>
      </c>
      <c r="F154" s="15">
        <v>30</v>
      </c>
      <c r="G154" s="14">
        <v>218</v>
      </c>
      <c r="H154" s="28">
        <v>22</v>
      </c>
      <c r="I154" s="136">
        <v>25</v>
      </c>
      <c r="J154" s="27" t="s">
        <v>1946</v>
      </c>
      <c r="K154" s="28">
        <v>1480</v>
      </c>
      <c r="L154" s="28" t="s">
        <v>566</v>
      </c>
      <c r="M154" s="38" t="s">
        <v>1830</v>
      </c>
      <c r="N154" s="100" t="s">
        <v>1831</v>
      </c>
      <c r="O154" s="153" t="s">
        <v>1260</v>
      </c>
      <c r="P154" s="153" t="s">
        <v>1260</v>
      </c>
    </row>
    <row r="155" spans="3:16" ht="15.75" thickBot="1">
      <c r="C155" s="2"/>
      <c r="D155" s="13" t="s">
        <v>1976</v>
      </c>
      <c r="E155" s="14">
        <v>15</v>
      </c>
      <c r="F155" s="15">
        <v>20</v>
      </c>
      <c r="G155" s="14">
        <v>204</v>
      </c>
      <c r="H155" s="28">
        <v>17</v>
      </c>
      <c r="I155" s="136">
        <v>19</v>
      </c>
      <c r="J155" s="27" t="s">
        <v>1946</v>
      </c>
      <c r="K155" s="28">
        <v>1480</v>
      </c>
      <c r="L155" s="28" t="s">
        <v>566</v>
      </c>
      <c r="M155" s="38" t="s">
        <v>1830</v>
      </c>
      <c r="N155" s="100" t="s">
        <v>1831</v>
      </c>
      <c r="O155" s="153" t="s">
        <v>1260</v>
      </c>
      <c r="P155" s="153" t="s">
        <v>1260</v>
      </c>
    </row>
    <row r="156" spans="3:16" ht="15.75" thickBot="1">
      <c r="C156" s="2"/>
      <c r="D156" s="13" t="s">
        <v>1977</v>
      </c>
      <c r="E156" s="14">
        <v>11</v>
      </c>
      <c r="F156" s="15">
        <v>15</v>
      </c>
      <c r="G156" s="14">
        <v>190</v>
      </c>
      <c r="H156" s="28">
        <v>12</v>
      </c>
      <c r="I156" s="136">
        <v>13</v>
      </c>
      <c r="J156" s="27" t="s">
        <v>1946</v>
      </c>
      <c r="K156" s="28">
        <v>1480</v>
      </c>
      <c r="L156" s="28" t="s">
        <v>566</v>
      </c>
      <c r="M156" s="38" t="s">
        <v>1830</v>
      </c>
      <c r="N156" s="100" t="s">
        <v>1831</v>
      </c>
      <c r="O156" s="153" t="s">
        <v>1260</v>
      </c>
      <c r="P156" s="153" t="s">
        <v>1260</v>
      </c>
    </row>
    <row r="157" spans="3:16" ht="15.75" thickBot="1">
      <c r="C157" s="2"/>
      <c r="D157" s="13" t="s">
        <v>1978</v>
      </c>
      <c r="E157" s="14">
        <v>355</v>
      </c>
      <c r="F157" s="15">
        <v>480</v>
      </c>
      <c r="G157" s="14">
        <v>485</v>
      </c>
      <c r="H157" s="28">
        <v>170</v>
      </c>
      <c r="I157" s="136">
        <v>185</v>
      </c>
      <c r="J157" s="27" t="s">
        <v>1946</v>
      </c>
      <c r="K157" s="28">
        <v>2970</v>
      </c>
      <c r="L157" s="28" t="s">
        <v>566</v>
      </c>
      <c r="M157" s="38" t="s">
        <v>1856</v>
      </c>
      <c r="N157" s="100" t="s">
        <v>1831</v>
      </c>
      <c r="O157" s="153" t="s">
        <v>1260</v>
      </c>
      <c r="P157" s="153" t="s">
        <v>1260</v>
      </c>
    </row>
    <row r="158" spans="3:16" ht="15.75" thickBot="1">
      <c r="C158" s="2"/>
      <c r="D158" s="13" t="s">
        <v>1979</v>
      </c>
      <c r="E158" s="14">
        <v>315</v>
      </c>
      <c r="F158" s="15">
        <v>430</v>
      </c>
      <c r="G158" s="14">
        <v>456</v>
      </c>
      <c r="H158" s="28">
        <v>150</v>
      </c>
      <c r="I158" s="136">
        <v>163</v>
      </c>
      <c r="J158" s="27" t="s">
        <v>1946</v>
      </c>
      <c r="K158" s="28">
        <v>2970</v>
      </c>
      <c r="L158" s="28" t="s">
        <v>566</v>
      </c>
      <c r="M158" s="38" t="s">
        <v>1856</v>
      </c>
      <c r="N158" s="100" t="s">
        <v>1831</v>
      </c>
      <c r="O158" s="153" t="s">
        <v>1260</v>
      </c>
      <c r="P158" s="153" t="s">
        <v>1260</v>
      </c>
    </row>
    <row r="159" spans="3:16" ht="15.75" thickBot="1">
      <c r="C159" s="2"/>
      <c r="D159" s="13" t="s">
        <v>1980</v>
      </c>
      <c r="E159" s="14">
        <v>220</v>
      </c>
      <c r="F159" s="15">
        <v>300</v>
      </c>
      <c r="G159" s="14">
        <v>422</v>
      </c>
      <c r="H159" s="28">
        <v>114</v>
      </c>
      <c r="I159" s="136">
        <v>124</v>
      </c>
      <c r="J159" s="27" t="s">
        <v>1946</v>
      </c>
      <c r="K159" s="28">
        <v>2970</v>
      </c>
      <c r="L159" s="28" t="s">
        <v>566</v>
      </c>
      <c r="M159" s="38" t="s">
        <v>1856</v>
      </c>
      <c r="N159" s="100" t="s">
        <v>1831</v>
      </c>
      <c r="O159" s="153" t="s">
        <v>1260</v>
      </c>
      <c r="P159" s="153" t="s">
        <v>1260</v>
      </c>
    </row>
    <row r="160" spans="3:16" ht="15.75" thickBot="1">
      <c r="C160" s="2"/>
      <c r="D160" s="13" t="s">
        <v>1981</v>
      </c>
      <c r="E160" s="14">
        <v>132</v>
      </c>
      <c r="F160" s="15">
        <v>180</v>
      </c>
      <c r="G160" s="14">
        <v>388</v>
      </c>
      <c r="H160" s="28">
        <v>73</v>
      </c>
      <c r="I160" s="136">
        <v>79</v>
      </c>
      <c r="J160" s="27" t="s">
        <v>1946</v>
      </c>
      <c r="K160" s="28">
        <v>2970</v>
      </c>
      <c r="L160" s="28" t="s">
        <v>566</v>
      </c>
      <c r="M160" s="38" t="s">
        <v>1856</v>
      </c>
      <c r="N160" s="100" t="s">
        <v>1831</v>
      </c>
      <c r="O160" s="153" t="s">
        <v>1260</v>
      </c>
      <c r="P160" s="153" t="s">
        <v>1260</v>
      </c>
    </row>
    <row r="161" spans="3:16" ht="15.75" thickBot="1">
      <c r="C161" s="2"/>
      <c r="D161" s="13" t="s">
        <v>1982</v>
      </c>
      <c r="E161" s="14">
        <v>280</v>
      </c>
      <c r="F161" s="15">
        <v>380</v>
      </c>
      <c r="G161" s="14">
        <v>410</v>
      </c>
      <c r="H161" s="28">
        <v>152</v>
      </c>
      <c r="I161" s="136">
        <v>165</v>
      </c>
      <c r="J161" s="27" t="s">
        <v>1946</v>
      </c>
      <c r="K161" s="28">
        <v>2970</v>
      </c>
      <c r="L161" s="28" t="s">
        <v>566</v>
      </c>
      <c r="M161" s="38" t="s">
        <v>1856</v>
      </c>
      <c r="N161" s="100" t="s">
        <v>1831</v>
      </c>
      <c r="O161" s="153" t="s">
        <v>1260</v>
      </c>
      <c r="P161" s="153" t="s">
        <v>1260</v>
      </c>
    </row>
    <row r="162" spans="3:16" ht="15.75" thickBot="1">
      <c r="C162" s="2"/>
      <c r="D162" s="13" t="s">
        <v>1983</v>
      </c>
      <c r="E162" s="14">
        <v>250</v>
      </c>
      <c r="F162" s="15">
        <v>340</v>
      </c>
      <c r="G162" s="14">
        <v>385</v>
      </c>
      <c r="H162" s="28">
        <v>134</v>
      </c>
      <c r="I162" s="136">
        <v>146</v>
      </c>
      <c r="J162" s="27" t="s">
        <v>1946</v>
      </c>
      <c r="K162" s="28">
        <v>2970</v>
      </c>
      <c r="L162" s="28" t="s">
        <v>566</v>
      </c>
      <c r="M162" s="38" t="s">
        <v>1856</v>
      </c>
      <c r="N162" s="100" t="s">
        <v>1831</v>
      </c>
      <c r="O162" s="153" t="s">
        <v>1260</v>
      </c>
      <c r="P162" s="153" t="s">
        <v>1260</v>
      </c>
    </row>
    <row r="163" spans="3:16" ht="15.75" thickBot="1">
      <c r="C163" s="2"/>
      <c r="D163" s="13" t="s">
        <v>1984</v>
      </c>
      <c r="E163" s="14">
        <v>185</v>
      </c>
      <c r="F163" s="15">
        <v>250</v>
      </c>
      <c r="G163" s="14">
        <v>357</v>
      </c>
      <c r="H163" s="28">
        <v>102</v>
      </c>
      <c r="I163" s="136">
        <v>110</v>
      </c>
      <c r="J163" s="27" t="s">
        <v>1946</v>
      </c>
      <c r="K163" s="28">
        <v>2970</v>
      </c>
      <c r="L163" s="28" t="s">
        <v>566</v>
      </c>
      <c r="M163" s="38" t="s">
        <v>1856</v>
      </c>
      <c r="N163" s="100" t="s">
        <v>1831</v>
      </c>
      <c r="O163" s="153" t="s">
        <v>1260</v>
      </c>
      <c r="P163" s="153" t="s">
        <v>1260</v>
      </c>
    </row>
    <row r="164" spans="3:16" ht="15.75" thickBot="1">
      <c r="C164" s="2"/>
      <c r="D164" s="13" t="s">
        <v>1985</v>
      </c>
      <c r="E164" s="14">
        <v>110</v>
      </c>
      <c r="F164" s="15">
        <v>150</v>
      </c>
      <c r="G164" s="14">
        <v>328</v>
      </c>
      <c r="H164" s="28">
        <v>65</v>
      </c>
      <c r="I164" s="136">
        <v>71</v>
      </c>
      <c r="J164" s="27" t="s">
        <v>1946</v>
      </c>
      <c r="K164" s="28">
        <v>2970</v>
      </c>
      <c r="L164" s="28" t="s">
        <v>566</v>
      </c>
      <c r="M164" s="38" t="s">
        <v>1856</v>
      </c>
      <c r="N164" s="100" t="s">
        <v>1831</v>
      </c>
      <c r="O164" s="153" t="s">
        <v>1260</v>
      </c>
      <c r="P164" s="153" t="s">
        <v>1260</v>
      </c>
    </row>
    <row r="165" spans="3:16" ht="15.75" thickBot="1">
      <c r="C165" s="2"/>
      <c r="D165" s="13" t="s">
        <v>1986</v>
      </c>
      <c r="E165" s="14">
        <v>75</v>
      </c>
      <c r="F165" s="15">
        <v>100</v>
      </c>
      <c r="G165" s="14">
        <v>320</v>
      </c>
      <c r="H165" s="28">
        <v>50</v>
      </c>
      <c r="I165" s="136">
        <v>55</v>
      </c>
      <c r="J165" s="27" t="s">
        <v>1946</v>
      </c>
      <c r="K165" s="28">
        <v>1480</v>
      </c>
      <c r="L165" s="28" t="s">
        <v>566</v>
      </c>
      <c r="M165" s="38" t="s">
        <v>1830</v>
      </c>
      <c r="N165" s="100" t="s">
        <v>1831</v>
      </c>
      <c r="O165" s="153" t="s">
        <v>1260</v>
      </c>
      <c r="P165" s="153" t="s">
        <v>1260</v>
      </c>
    </row>
    <row r="166" spans="3:16" ht="15.75" thickBot="1">
      <c r="C166" s="2"/>
      <c r="D166" s="13" t="s">
        <v>1987</v>
      </c>
      <c r="E166" s="14">
        <v>75</v>
      </c>
      <c r="F166" s="15">
        <v>100</v>
      </c>
      <c r="G166" s="14">
        <v>301</v>
      </c>
      <c r="H166" s="28">
        <v>44</v>
      </c>
      <c r="I166" s="136">
        <v>49</v>
      </c>
      <c r="J166" s="27" t="s">
        <v>1946</v>
      </c>
      <c r="K166" s="28">
        <v>1480</v>
      </c>
      <c r="L166" s="28" t="s">
        <v>566</v>
      </c>
      <c r="M166" s="38" t="s">
        <v>1830</v>
      </c>
      <c r="N166" s="100" t="s">
        <v>1831</v>
      </c>
      <c r="O166" s="153" t="s">
        <v>1260</v>
      </c>
      <c r="P166" s="153" t="s">
        <v>1260</v>
      </c>
    </row>
    <row r="167" spans="3:16" ht="15.75" thickBot="1">
      <c r="C167" s="2"/>
      <c r="D167" s="13" t="s">
        <v>1988</v>
      </c>
      <c r="E167" s="14">
        <v>45</v>
      </c>
      <c r="F167" s="15">
        <v>60</v>
      </c>
      <c r="G167" s="14">
        <v>278</v>
      </c>
      <c r="H167" s="28">
        <v>33</v>
      </c>
      <c r="I167" s="136">
        <v>37</v>
      </c>
      <c r="J167" s="27" t="s">
        <v>1946</v>
      </c>
      <c r="K167" s="28">
        <v>1480</v>
      </c>
      <c r="L167" s="28" t="s">
        <v>566</v>
      </c>
      <c r="M167" s="38" t="s">
        <v>1830</v>
      </c>
      <c r="N167" s="100" t="s">
        <v>1831</v>
      </c>
      <c r="O167" s="153" t="s">
        <v>1260</v>
      </c>
      <c r="P167" s="153" t="s">
        <v>1260</v>
      </c>
    </row>
    <row r="168" spans="3:16" ht="15.75" thickBot="1">
      <c r="C168" s="2"/>
      <c r="D168" s="13" t="s">
        <v>1989</v>
      </c>
      <c r="E168" s="14">
        <v>30</v>
      </c>
      <c r="F168" s="15">
        <v>40</v>
      </c>
      <c r="G168" s="14">
        <v>256</v>
      </c>
      <c r="H168" s="28">
        <v>21</v>
      </c>
      <c r="I168" s="136">
        <v>24</v>
      </c>
      <c r="J168" s="27" t="s">
        <v>1946</v>
      </c>
      <c r="K168" s="28">
        <v>1480</v>
      </c>
      <c r="L168" s="28" t="s">
        <v>566</v>
      </c>
      <c r="M168" s="38" t="s">
        <v>1830</v>
      </c>
      <c r="N168" s="100" t="s">
        <v>1831</v>
      </c>
      <c r="O168" s="153" t="s">
        <v>1260</v>
      </c>
      <c r="P168" s="153" t="s">
        <v>1260</v>
      </c>
    </row>
    <row r="169" spans="3:16" ht="15.75" thickBot="1">
      <c r="C169" s="2"/>
      <c r="D169" s="13" t="s">
        <v>1990</v>
      </c>
      <c r="E169" s="14">
        <v>55</v>
      </c>
      <c r="F169" s="15">
        <v>75</v>
      </c>
      <c r="G169" s="14">
        <v>275</v>
      </c>
      <c r="H169" s="28">
        <v>45</v>
      </c>
      <c r="I169" s="136">
        <v>50</v>
      </c>
      <c r="J169" s="27" t="s">
        <v>1946</v>
      </c>
      <c r="K169" s="28">
        <v>1480</v>
      </c>
      <c r="L169" s="28" t="s">
        <v>566</v>
      </c>
      <c r="M169" s="38" t="s">
        <v>1830</v>
      </c>
      <c r="N169" s="100" t="s">
        <v>1831</v>
      </c>
      <c r="O169" s="153" t="s">
        <v>1260</v>
      </c>
      <c r="P169" s="153" t="s">
        <v>1260</v>
      </c>
    </row>
    <row r="170" spans="3:16" ht="15.75" thickBot="1">
      <c r="C170" s="2"/>
      <c r="D170" s="13" t="s">
        <v>1991</v>
      </c>
      <c r="E170" s="14">
        <v>45</v>
      </c>
      <c r="F170" s="15">
        <v>60</v>
      </c>
      <c r="G170" s="14">
        <v>259</v>
      </c>
      <c r="H170" s="28">
        <v>40</v>
      </c>
      <c r="I170" s="136">
        <v>44</v>
      </c>
      <c r="J170" s="27" t="s">
        <v>1946</v>
      </c>
      <c r="K170" s="28">
        <v>1480</v>
      </c>
      <c r="L170" s="28" t="s">
        <v>566</v>
      </c>
      <c r="M170" s="38" t="s">
        <v>1830</v>
      </c>
      <c r="N170" s="100" t="s">
        <v>1831</v>
      </c>
      <c r="O170" s="153" t="s">
        <v>1260</v>
      </c>
      <c r="P170" s="153" t="s">
        <v>1260</v>
      </c>
    </row>
    <row r="171" spans="3:16" ht="15.75" thickBot="1">
      <c r="C171" s="2"/>
      <c r="D171" s="13" t="s">
        <v>1992</v>
      </c>
      <c r="E171" s="14">
        <v>37</v>
      </c>
      <c r="F171" s="15">
        <v>50</v>
      </c>
      <c r="G171" s="14">
        <v>239</v>
      </c>
      <c r="H171" s="28">
        <v>30</v>
      </c>
      <c r="I171" s="136">
        <v>33</v>
      </c>
      <c r="J171" s="27" t="s">
        <v>1946</v>
      </c>
      <c r="K171" s="28">
        <v>1480</v>
      </c>
      <c r="L171" s="28" t="s">
        <v>566</v>
      </c>
      <c r="M171" s="38" t="s">
        <v>1830</v>
      </c>
      <c r="N171" s="100" t="s">
        <v>1831</v>
      </c>
      <c r="O171" s="153" t="s">
        <v>1260</v>
      </c>
      <c r="P171" s="153" t="s">
        <v>1260</v>
      </c>
    </row>
    <row r="172" spans="3:16" ht="15.75" thickBot="1">
      <c r="C172" s="2"/>
      <c r="D172" s="13" t="s">
        <v>1993</v>
      </c>
      <c r="E172" s="14">
        <v>22</v>
      </c>
      <c r="F172" s="15">
        <v>30</v>
      </c>
      <c r="G172" s="14">
        <v>220</v>
      </c>
      <c r="H172" s="28">
        <v>19</v>
      </c>
      <c r="I172" s="136">
        <v>21</v>
      </c>
      <c r="J172" s="27" t="s">
        <v>1946</v>
      </c>
      <c r="K172" s="28">
        <v>1480</v>
      </c>
      <c r="L172" s="28" t="s">
        <v>566</v>
      </c>
      <c r="M172" s="38" t="s">
        <v>1830</v>
      </c>
      <c r="N172" s="100" t="s">
        <v>1831</v>
      </c>
      <c r="O172" s="153" t="s">
        <v>1260</v>
      </c>
      <c r="P172" s="153" t="s">
        <v>1260</v>
      </c>
    </row>
    <row r="173" spans="3:16" ht="15.75" thickBot="1">
      <c r="C173" s="2"/>
      <c r="D173" s="13" t="s">
        <v>1994</v>
      </c>
      <c r="E173" s="14">
        <v>132</v>
      </c>
      <c r="F173" s="15">
        <v>180</v>
      </c>
      <c r="G173" s="14">
        <v>340</v>
      </c>
      <c r="H173" s="28">
        <v>79</v>
      </c>
      <c r="I173" s="136">
        <v>87</v>
      </c>
      <c r="J173" s="27" t="s">
        <v>1946</v>
      </c>
      <c r="K173" s="28">
        <v>1480</v>
      </c>
      <c r="L173" s="28" t="s">
        <v>566</v>
      </c>
      <c r="M173" s="38" t="s">
        <v>1830</v>
      </c>
      <c r="N173" s="100" t="s">
        <v>1831</v>
      </c>
      <c r="O173" s="153" t="s">
        <v>1260</v>
      </c>
      <c r="P173" s="153" t="s">
        <v>1260</v>
      </c>
    </row>
    <row r="174" spans="3:16" ht="15.75" thickBot="1">
      <c r="C174" s="2"/>
      <c r="D174" s="13" t="s">
        <v>1995</v>
      </c>
      <c r="E174" s="14">
        <v>110</v>
      </c>
      <c r="F174" s="15">
        <v>150</v>
      </c>
      <c r="G174" s="14">
        <v>320</v>
      </c>
      <c r="H174" s="28">
        <v>70</v>
      </c>
      <c r="I174" s="136">
        <v>77</v>
      </c>
      <c r="J174" s="27" t="s">
        <v>1946</v>
      </c>
      <c r="K174" s="28">
        <v>1480</v>
      </c>
      <c r="L174" s="28" t="s">
        <v>566</v>
      </c>
      <c r="M174" s="38" t="s">
        <v>1830</v>
      </c>
      <c r="N174" s="100" t="s">
        <v>1831</v>
      </c>
      <c r="O174" s="153" t="s">
        <v>1260</v>
      </c>
      <c r="P174" s="153" t="s">
        <v>1260</v>
      </c>
    </row>
    <row r="175" spans="3:16" ht="15.75" thickBot="1">
      <c r="C175" s="2"/>
      <c r="D175" s="13" t="s">
        <v>1996</v>
      </c>
      <c r="E175" s="14">
        <v>75</v>
      </c>
      <c r="F175" s="15">
        <v>100</v>
      </c>
      <c r="G175" s="14">
        <v>296</v>
      </c>
      <c r="H175" s="28">
        <v>53</v>
      </c>
      <c r="I175" s="136">
        <v>58</v>
      </c>
      <c r="J175" s="27" t="s">
        <v>1946</v>
      </c>
      <c r="K175" s="28">
        <v>1480</v>
      </c>
      <c r="L175" s="28" t="s">
        <v>566</v>
      </c>
      <c r="M175" s="38" t="s">
        <v>1830</v>
      </c>
      <c r="N175" s="100" t="s">
        <v>1831</v>
      </c>
      <c r="O175" s="153" t="s">
        <v>1260</v>
      </c>
      <c r="P175" s="153" t="s">
        <v>1260</v>
      </c>
    </row>
    <row r="176" spans="3:16" ht="15.75" thickBot="1">
      <c r="C176" s="2"/>
      <c r="D176" s="13" t="s">
        <v>1997</v>
      </c>
      <c r="E176" s="14">
        <v>45</v>
      </c>
      <c r="F176" s="15">
        <v>60</v>
      </c>
      <c r="G176" s="14">
        <v>272</v>
      </c>
      <c r="H176" s="28">
        <v>34</v>
      </c>
      <c r="I176" s="136">
        <v>37</v>
      </c>
      <c r="J176" s="27" t="s">
        <v>1946</v>
      </c>
      <c r="K176" s="28">
        <v>1480</v>
      </c>
      <c r="L176" s="28" t="s">
        <v>566</v>
      </c>
      <c r="M176" s="38" t="s">
        <v>1830</v>
      </c>
      <c r="N176" s="100" t="s">
        <v>1831</v>
      </c>
      <c r="O176" s="153" t="s">
        <v>1260</v>
      </c>
      <c r="P176" s="153" t="s">
        <v>1260</v>
      </c>
    </row>
    <row r="177" spans="3:16" ht="15.75" thickBot="1">
      <c r="C177" s="2"/>
      <c r="D177" s="13" t="s">
        <v>1998</v>
      </c>
      <c r="E177" s="14">
        <v>90</v>
      </c>
      <c r="F177" s="15">
        <v>125</v>
      </c>
      <c r="G177" s="14">
        <v>290</v>
      </c>
      <c r="H177" s="28">
        <v>71</v>
      </c>
      <c r="I177" s="136">
        <v>79</v>
      </c>
      <c r="J177" s="27" t="s">
        <v>1946</v>
      </c>
      <c r="K177" s="28">
        <v>1480</v>
      </c>
      <c r="L177" s="28" t="s">
        <v>566</v>
      </c>
      <c r="M177" s="38" t="s">
        <v>1830</v>
      </c>
      <c r="N177" s="100" t="s">
        <v>1831</v>
      </c>
      <c r="O177" s="153" t="s">
        <v>1260</v>
      </c>
      <c r="P177" s="153" t="s">
        <v>1260</v>
      </c>
    </row>
    <row r="178" spans="3:16" ht="15.75" thickBot="1">
      <c r="C178" s="2"/>
      <c r="D178" s="13" t="s">
        <v>1999</v>
      </c>
      <c r="E178" s="14">
        <v>75</v>
      </c>
      <c r="F178" s="15">
        <v>100</v>
      </c>
      <c r="G178" s="14">
        <v>273</v>
      </c>
      <c r="H178" s="28">
        <v>63</v>
      </c>
      <c r="I178" s="136">
        <v>69</v>
      </c>
      <c r="J178" s="27" t="s">
        <v>1946</v>
      </c>
      <c r="K178" s="28">
        <v>1480</v>
      </c>
      <c r="L178" s="28" t="s">
        <v>566</v>
      </c>
      <c r="M178" s="38" t="s">
        <v>1830</v>
      </c>
      <c r="N178" s="100" t="s">
        <v>1831</v>
      </c>
      <c r="O178" s="153" t="s">
        <v>1260</v>
      </c>
      <c r="P178" s="153" t="s">
        <v>1260</v>
      </c>
    </row>
    <row r="179" spans="3:16" ht="15.75" thickBot="1">
      <c r="C179" s="2"/>
      <c r="D179" s="13" t="s">
        <v>2000</v>
      </c>
      <c r="E179" s="14">
        <v>55</v>
      </c>
      <c r="F179" s="15">
        <v>75</v>
      </c>
      <c r="G179" s="14">
        <v>252</v>
      </c>
      <c r="H179" s="28">
        <v>48</v>
      </c>
      <c r="I179" s="136">
        <v>53</v>
      </c>
      <c r="J179" s="27" t="s">
        <v>1946</v>
      </c>
      <c r="K179" s="28">
        <v>1480</v>
      </c>
      <c r="L179" s="28" t="s">
        <v>566</v>
      </c>
      <c r="M179" s="38" t="s">
        <v>1830</v>
      </c>
      <c r="N179" s="100" t="s">
        <v>1831</v>
      </c>
      <c r="O179" s="153" t="s">
        <v>1260</v>
      </c>
      <c r="P179" s="153" t="s">
        <v>1260</v>
      </c>
    </row>
    <row r="180" spans="3:16" ht="15.75" thickBot="1">
      <c r="C180" s="2"/>
      <c r="D180" s="13" t="s">
        <v>2001</v>
      </c>
      <c r="E180" s="14">
        <v>37</v>
      </c>
      <c r="F180" s="15">
        <v>50</v>
      </c>
      <c r="G180" s="14">
        <v>232</v>
      </c>
      <c r="H180" s="28">
        <v>31</v>
      </c>
      <c r="I180" s="136">
        <v>34</v>
      </c>
      <c r="J180" s="27" t="s">
        <v>1946</v>
      </c>
      <c r="K180" s="28">
        <v>1480</v>
      </c>
      <c r="L180" s="28" t="s">
        <v>566</v>
      </c>
      <c r="M180" s="38" t="s">
        <v>1830</v>
      </c>
      <c r="N180" s="100" t="s">
        <v>1831</v>
      </c>
      <c r="O180" s="153" t="s">
        <v>1260</v>
      </c>
      <c r="P180" s="153" t="s">
        <v>1260</v>
      </c>
    </row>
    <row r="181" spans="3:16" ht="15.75" thickBot="1">
      <c r="C181" s="2"/>
      <c r="D181" s="13" t="s">
        <v>2002</v>
      </c>
      <c r="E181" s="14">
        <v>5.5</v>
      </c>
      <c r="F181" s="15">
        <v>7.5</v>
      </c>
      <c r="G181" s="14">
        <v>140</v>
      </c>
      <c r="H181" s="28">
        <v>8.3000000000000007</v>
      </c>
      <c r="I181" s="136">
        <v>9.4</v>
      </c>
      <c r="J181" s="27" t="s">
        <v>715</v>
      </c>
      <c r="K181" s="28">
        <v>1480</v>
      </c>
      <c r="L181" s="28" t="s">
        <v>566</v>
      </c>
      <c r="M181" s="38" t="s">
        <v>1830</v>
      </c>
      <c r="N181" s="100" t="s">
        <v>1831</v>
      </c>
      <c r="O181" s="153" t="s">
        <v>1260</v>
      </c>
      <c r="P181" s="153" t="s">
        <v>1260</v>
      </c>
    </row>
    <row r="182" spans="3:16" ht="15.75" thickBot="1">
      <c r="C182" s="2"/>
      <c r="D182" s="13" t="s">
        <v>2003</v>
      </c>
      <c r="E182" s="14">
        <v>5.5</v>
      </c>
      <c r="F182" s="15">
        <v>7.5</v>
      </c>
      <c r="G182" s="14">
        <v>132</v>
      </c>
      <c r="H182" s="28">
        <v>7</v>
      </c>
      <c r="I182" s="136">
        <v>8</v>
      </c>
      <c r="J182" s="27" t="s">
        <v>715</v>
      </c>
      <c r="K182" s="28">
        <v>1480</v>
      </c>
      <c r="L182" s="28" t="s">
        <v>566</v>
      </c>
      <c r="M182" s="38" t="s">
        <v>1830</v>
      </c>
      <c r="N182" s="100" t="s">
        <v>1831</v>
      </c>
      <c r="O182" s="153" t="s">
        <v>1260</v>
      </c>
      <c r="P182" s="153" t="s">
        <v>1260</v>
      </c>
    </row>
    <row r="183" spans="3:16" ht="15.75" thickBot="1">
      <c r="C183" s="2"/>
      <c r="D183" s="13" t="s">
        <v>2004</v>
      </c>
      <c r="E183" s="14">
        <v>4</v>
      </c>
      <c r="F183" s="15">
        <v>5.5</v>
      </c>
      <c r="G183" s="14">
        <v>125</v>
      </c>
      <c r="H183" s="28">
        <v>6</v>
      </c>
      <c r="I183" s="136">
        <v>7</v>
      </c>
      <c r="J183" s="27" t="s">
        <v>715</v>
      </c>
      <c r="K183" s="28">
        <v>1480</v>
      </c>
      <c r="L183" s="28" t="s">
        <v>566</v>
      </c>
      <c r="M183" s="38" t="s">
        <v>1830</v>
      </c>
      <c r="N183" s="100" t="s">
        <v>1831</v>
      </c>
      <c r="O183" s="153" t="s">
        <v>1260</v>
      </c>
      <c r="P183" s="153" t="s">
        <v>1260</v>
      </c>
    </row>
    <row r="184" spans="3:16" ht="15.75" thickBot="1">
      <c r="C184" s="2"/>
      <c r="D184" s="13" t="s">
        <v>2005</v>
      </c>
      <c r="E184" s="14">
        <v>3</v>
      </c>
      <c r="F184" s="15">
        <v>4</v>
      </c>
      <c r="G184" s="14">
        <v>118</v>
      </c>
      <c r="H184" s="28">
        <v>4</v>
      </c>
      <c r="I184" s="136">
        <v>5</v>
      </c>
      <c r="J184" s="27" t="s">
        <v>715</v>
      </c>
      <c r="K184" s="28">
        <v>1480</v>
      </c>
      <c r="L184" s="28" t="s">
        <v>566</v>
      </c>
      <c r="M184" s="38" t="s">
        <v>1830</v>
      </c>
      <c r="N184" s="100" t="s">
        <v>1831</v>
      </c>
      <c r="O184" s="153" t="s">
        <v>1260</v>
      </c>
      <c r="P184" s="153" t="s">
        <v>1260</v>
      </c>
    </row>
    <row r="185" spans="3:16" ht="15.75" thickBot="1">
      <c r="C185" s="2"/>
      <c r="D185" s="13" t="s">
        <v>2006</v>
      </c>
      <c r="E185" s="14">
        <v>4</v>
      </c>
      <c r="F185" s="15">
        <v>5.5</v>
      </c>
      <c r="G185" s="14">
        <v>120</v>
      </c>
      <c r="H185" s="28">
        <v>7.5</v>
      </c>
      <c r="I185" s="136">
        <v>8.5</v>
      </c>
      <c r="J185" s="27" t="s">
        <v>715</v>
      </c>
      <c r="K185" s="28">
        <v>1480</v>
      </c>
      <c r="L185" s="28" t="s">
        <v>566</v>
      </c>
      <c r="M185" s="38" t="s">
        <v>1830</v>
      </c>
      <c r="N185" s="100" t="s">
        <v>1831</v>
      </c>
      <c r="O185" s="153" t="s">
        <v>1260</v>
      </c>
      <c r="P185" s="153" t="s">
        <v>1260</v>
      </c>
    </row>
    <row r="186" spans="3:16" ht="15.75" thickBot="1">
      <c r="C186" s="2"/>
      <c r="D186" s="13" t="s">
        <v>2007</v>
      </c>
      <c r="E186" s="14">
        <v>4</v>
      </c>
      <c r="F186" s="15">
        <v>5.5</v>
      </c>
      <c r="G186" s="14">
        <v>113</v>
      </c>
      <c r="H186" s="28">
        <v>7</v>
      </c>
      <c r="I186" s="136">
        <v>7</v>
      </c>
      <c r="J186" s="27" t="s">
        <v>715</v>
      </c>
      <c r="K186" s="28">
        <v>1480</v>
      </c>
      <c r="L186" s="28" t="s">
        <v>566</v>
      </c>
      <c r="M186" s="38" t="s">
        <v>1830</v>
      </c>
      <c r="N186" s="100" t="s">
        <v>1831</v>
      </c>
      <c r="O186" s="153" t="s">
        <v>1260</v>
      </c>
      <c r="P186" s="153" t="s">
        <v>1260</v>
      </c>
    </row>
    <row r="187" spans="3:16" ht="15.75" thickBot="1">
      <c r="C187" s="2"/>
      <c r="D187" s="13" t="s">
        <v>2008</v>
      </c>
      <c r="E187" s="14">
        <v>3</v>
      </c>
      <c r="F187" s="15">
        <v>4</v>
      </c>
      <c r="G187" s="14">
        <v>107</v>
      </c>
      <c r="H187" s="28">
        <v>5</v>
      </c>
      <c r="I187" s="136">
        <v>6</v>
      </c>
      <c r="J187" s="27" t="s">
        <v>715</v>
      </c>
      <c r="K187" s="28">
        <v>1480</v>
      </c>
      <c r="L187" s="28" t="s">
        <v>566</v>
      </c>
      <c r="M187" s="38" t="s">
        <v>1830</v>
      </c>
      <c r="N187" s="100" t="s">
        <v>1831</v>
      </c>
      <c r="O187" s="153" t="s">
        <v>1260</v>
      </c>
      <c r="P187" s="153" t="s">
        <v>1260</v>
      </c>
    </row>
    <row r="188" spans="3:16" ht="15.75" thickBot="1">
      <c r="C188" s="2"/>
      <c r="D188" s="13" t="s">
        <v>2009</v>
      </c>
      <c r="E188" s="14">
        <v>2.2000000000000002</v>
      </c>
      <c r="F188" s="15">
        <v>3</v>
      </c>
      <c r="G188" s="14">
        <v>101</v>
      </c>
      <c r="H188" s="28">
        <v>4</v>
      </c>
      <c r="I188" s="136">
        <v>4</v>
      </c>
      <c r="J188" s="27" t="s">
        <v>715</v>
      </c>
      <c r="K188" s="28">
        <v>1480</v>
      </c>
      <c r="L188" s="28" t="s">
        <v>566</v>
      </c>
      <c r="M188" s="38" t="s">
        <v>1830</v>
      </c>
      <c r="N188" s="100" t="s">
        <v>1831</v>
      </c>
      <c r="O188" s="153" t="s">
        <v>1260</v>
      </c>
      <c r="P188" s="153" t="s">
        <v>1260</v>
      </c>
    </row>
    <row r="189" spans="3:16" ht="15.75" thickBot="1">
      <c r="C189" s="2"/>
      <c r="D189" s="13" t="s">
        <v>2010</v>
      </c>
      <c r="E189" s="14">
        <v>250</v>
      </c>
      <c r="F189" s="15">
        <v>340</v>
      </c>
      <c r="G189" s="14">
        <v>820</v>
      </c>
      <c r="H189" s="28">
        <v>83</v>
      </c>
      <c r="I189" s="136">
        <v>102</v>
      </c>
      <c r="J189" s="27" t="s">
        <v>2011</v>
      </c>
      <c r="K189" s="28">
        <v>2970</v>
      </c>
      <c r="L189" s="28" t="s">
        <v>566</v>
      </c>
      <c r="M189" s="38" t="s">
        <v>1856</v>
      </c>
      <c r="N189" s="100" t="s">
        <v>1831</v>
      </c>
      <c r="O189" s="153" t="s">
        <v>1260</v>
      </c>
      <c r="P189" s="153" t="s">
        <v>1260</v>
      </c>
    </row>
    <row r="190" spans="3:16" ht="15.75" thickBot="1">
      <c r="C190" s="2"/>
      <c r="D190" s="13" t="s">
        <v>2012</v>
      </c>
      <c r="E190" s="14">
        <v>220</v>
      </c>
      <c r="F190" s="15">
        <v>300</v>
      </c>
      <c r="G190" s="14">
        <v>771</v>
      </c>
      <c r="H190" s="28">
        <v>73</v>
      </c>
      <c r="I190" s="136">
        <v>90</v>
      </c>
      <c r="J190" s="27" t="s">
        <v>2011</v>
      </c>
      <c r="K190" s="28">
        <v>2970</v>
      </c>
      <c r="L190" s="28" t="s">
        <v>566</v>
      </c>
      <c r="M190" s="38" t="s">
        <v>1856</v>
      </c>
      <c r="N190" s="100" t="s">
        <v>1831</v>
      </c>
      <c r="O190" s="153" t="s">
        <v>1260</v>
      </c>
      <c r="P190" s="153" t="s">
        <v>1260</v>
      </c>
    </row>
    <row r="191" spans="3:16" ht="15.75" thickBot="1">
      <c r="C191" s="2"/>
      <c r="D191" s="13" t="s">
        <v>2013</v>
      </c>
      <c r="E191" s="14">
        <v>160</v>
      </c>
      <c r="F191" s="15">
        <v>220</v>
      </c>
      <c r="G191" s="14">
        <v>722</v>
      </c>
      <c r="H191" s="28">
        <v>57</v>
      </c>
      <c r="I191" s="136">
        <v>70</v>
      </c>
      <c r="J191" s="27" t="s">
        <v>2011</v>
      </c>
      <c r="K191" s="28">
        <v>2970</v>
      </c>
      <c r="L191" s="28" t="s">
        <v>566</v>
      </c>
      <c r="M191" s="38" t="s">
        <v>1856</v>
      </c>
      <c r="N191" s="100" t="s">
        <v>1831</v>
      </c>
      <c r="O191" s="153" t="s">
        <v>1260</v>
      </c>
      <c r="P191" s="153" t="s">
        <v>1260</v>
      </c>
    </row>
    <row r="192" spans="3:16" ht="15.75" thickBot="1">
      <c r="C192" s="2"/>
      <c r="D192" s="13" t="s">
        <v>2014</v>
      </c>
      <c r="E192" s="14">
        <v>110</v>
      </c>
      <c r="F192" s="15">
        <v>150</v>
      </c>
      <c r="G192" s="14">
        <v>672</v>
      </c>
      <c r="H192" s="28">
        <v>38</v>
      </c>
      <c r="I192" s="136">
        <v>47</v>
      </c>
      <c r="J192" s="27" t="s">
        <v>2011</v>
      </c>
      <c r="K192" s="28">
        <v>2970</v>
      </c>
      <c r="L192" s="28" t="s">
        <v>566</v>
      </c>
      <c r="M192" s="38" t="s">
        <v>1856</v>
      </c>
      <c r="N192" s="100" t="s">
        <v>1831</v>
      </c>
      <c r="O192" s="153" t="s">
        <v>1260</v>
      </c>
      <c r="P192" s="153" t="s">
        <v>1260</v>
      </c>
    </row>
    <row r="193" spans="3:16" ht="15.75" thickBot="1">
      <c r="C193" s="2"/>
      <c r="D193" s="13" t="s">
        <v>2015</v>
      </c>
      <c r="E193" s="14">
        <v>200</v>
      </c>
      <c r="F193" s="15">
        <v>270</v>
      </c>
      <c r="G193" s="14">
        <v>700</v>
      </c>
      <c r="H193" s="28">
        <v>75</v>
      </c>
      <c r="I193" s="136">
        <v>92</v>
      </c>
      <c r="J193" s="27" t="s">
        <v>2011</v>
      </c>
      <c r="K193" s="28">
        <v>2970</v>
      </c>
      <c r="L193" s="28" t="s">
        <v>566</v>
      </c>
      <c r="M193" s="38" t="s">
        <v>1856</v>
      </c>
      <c r="N193" s="100" t="s">
        <v>1831</v>
      </c>
      <c r="O193" s="153" t="s">
        <v>1260</v>
      </c>
      <c r="P193" s="153" t="s">
        <v>1260</v>
      </c>
    </row>
    <row r="194" spans="3:16" ht="15.75" thickBot="1">
      <c r="C194" s="2"/>
      <c r="D194" s="13" t="s">
        <v>2016</v>
      </c>
      <c r="E194" s="14">
        <v>160</v>
      </c>
      <c r="F194" s="15">
        <v>220</v>
      </c>
      <c r="G194" s="14">
        <v>658</v>
      </c>
      <c r="H194" s="28">
        <v>66</v>
      </c>
      <c r="I194" s="136">
        <v>81</v>
      </c>
      <c r="J194" s="27" t="s">
        <v>2011</v>
      </c>
      <c r="K194" s="28">
        <v>2970</v>
      </c>
      <c r="L194" s="28" t="s">
        <v>566</v>
      </c>
      <c r="M194" s="38" t="s">
        <v>1856</v>
      </c>
      <c r="N194" s="100" t="s">
        <v>1831</v>
      </c>
      <c r="O194" s="153" t="s">
        <v>1260</v>
      </c>
      <c r="P194" s="153" t="s">
        <v>1260</v>
      </c>
    </row>
    <row r="195" spans="3:16" ht="15.75" thickBot="1">
      <c r="C195" s="2"/>
      <c r="D195" s="13" t="s">
        <v>2017</v>
      </c>
      <c r="E195" s="14">
        <v>132</v>
      </c>
      <c r="F195" s="15">
        <v>180</v>
      </c>
      <c r="G195" s="14">
        <v>616</v>
      </c>
      <c r="H195" s="28">
        <v>51</v>
      </c>
      <c r="I195" s="136">
        <v>63</v>
      </c>
      <c r="J195" s="27" t="s">
        <v>2011</v>
      </c>
      <c r="K195" s="28">
        <v>2970</v>
      </c>
      <c r="L195" s="28" t="s">
        <v>566</v>
      </c>
      <c r="M195" s="38" t="s">
        <v>1856</v>
      </c>
      <c r="N195" s="100" t="s">
        <v>1831</v>
      </c>
      <c r="O195" s="153" t="s">
        <v>1260</v>
      </c>
      <c r="P195" s="153" t="s">
        <v>1260</v>
      </c>
    </row>
    <row r="196" spans="3:16" ht="15.75" thickBot="1">
      <c r="C196" s="2"/>
      <c r="D196" s="13" t="s">
        <v>2018</v>
      </c>
      <c r="E196" s="14">
        <v>75</v>
      </c>
      <c r="F196" s="15">
        <v>100</v>
      </c>
      <c r="G196" s="14">
        <v>573</v>
      </c>
      <c r="H196" s="28">
        <v>34</v>
      </c>
      <c r="I196" s="136">
        <v>42</v>
      </c>
      <c r="J196" s="27" t="s">
        <v>2011</v>
      </c>
      <c r="K196" s="28">
        <v>2970</v>
      </c>
      <c r="L196" s="28" t="s">
        <v>566</v>
      </c>
      <c r="M196" s="38" t="s">
        <v>1856</v>
      </c>
      <c r="N196" s="100" t="s">
        <v>1831</v>
      </c>
      <c r="O196" s="153" t="s">
        <v>1260</v>
      </c>
      <c r="P196" s="153" t="s">
        <v>1260</v>
      </c>
    </row>
    <row r="197" spans="3:16" ht="15.75" thickBot="1">
      <c r="C197" s="2"/>
      <c r="D197" s="13" t="s">
        <v>2019</v>
      </c>
      <c r="E197" s="14">
        <v>45</v>
      </c>
      <c r="F197" s="15">
        <v>60</v>
      </c>
      <c r="G197" s="14">
        <v>490</v>
      </c>
      <c r="H197" s="28">
        <v>23</v>
      </c>
      <c r="I197" s="136">
        <v>27</v>
      </c>
      <c r="J197" s="27" t="s">
        <v>715</v>
      </c>
      <c r="K197" s="28">
        <v>1480</v>
      </c>
      <c r="L197" s="28" t="s">
        <v>566</v>
      </c>
      <c r="M197" s="38" t="s">
        <v>1830</v>
      </c>
      <c r="N197" s="100" t="s">
        <v>1831</v>
      </c>
      <c r="O197" s="153" t="s">
        <v>1260</v>
      </c>
      <c r="P197" s="153" t="s">
        <v>1260</v>
      </c>
    </row>
    <row r="198" spans="3:16" ht="15.75" thickBot="1">
      <c r="C198" s="2"/>
      <c r="D198" s="13" t="s">
        <v>2020</v>
      </c>
      <c r="E198" s="14">
        <v>37</v>
      </c>
      <c r="F198" s="15">
        <v>50</v>
      </c>
      <c r="G198" s="14">
        <v>461</v>
      </c>
      <c r="H198" s="28">
        <v>20</v>
      </c>
      <c r="I198" s="136">
        <v>24</v>
      </c>
      <c r="J198" s="27" t="s">
        <v>715</v>
      </c>
      <c r="K198" s="28">
        <v>1480</v>
      </c>
      <c r="L198" s="28" t="s">
        <v>566</v>
      </c>
      <c r="M198" s="38" t="s">
        <v>1830</v>
      </c>
      <c r="N198" s="100" t="s">
        <v>1831</v>
      </c>
      <c r="O198" s="153" t="s">
        <v>1260</v>
      </c>
      <c r="P198" s="153" t="s">
        <v>1260</v>
      </c>
    </row>
    <row r="199" spans="3:16" ht="15.75" thickBot="1">
      <c r="C199" s="2"/>
      <c r="D199" s="13" t="s">
        <v>2021</v>
      </c>
      <c r="E199" s="14">
        <v>30</v>
      </c>
      <c r="F199" s="15">
        <v>40</v>
      </c>
      <c r="G199" s="14">
        <v>431</v>
      </c>
      <c r="H199" s="28">
        <v>16</v>
      </c>
      <c r="I199" s="136">
        <v>18</v>
      </c>
      <c r="J199" s="27" t="s">
        <v>715</v>
      </c>
      <c r="K199" s="28">
        <v>1480</v>
      </c>
      <c r="L199" s="28" t="s">
        <v>566</v>
      </c>
      <c r="M199" s="38" t="s">
        <v>1830</v>
      </c>
      <c r="N199" s="100" t="s">
        <v>1831</v>
      </c>
      <c r="O199" s="153" t="s">
        <v>1260</v>
      </c>
      <c r="P199" s="153" t="s">
        <v>1260</v>
      </c>
    </row>
    <row r="200" spans="3:16" ht="15.75" thickBot="1">
      <c r="C200" s="2"/>
      <c r="D200" s="13" t="s">
        <v>2022</v>
      </c>
      <c r="E200" s="14">
        <v>18.5</v>
      </c>
      <c r="F200" s="15">
        <v>25</v>
      </c>
      <c r="G200" s="14">
        <v>401</v>
      </c>
      <c r="H200" s="28">
        <v>11</v>
      </c>
      <c r="I200" s="136">
        <v>12</v>
      </c>
      <c r="J200" s="27" t="s">
        <v>715</v>
      </c>
      <c r="K200" s="28">
        <v>1480</v>
      </c>
      <c r="L200" s="28" t="s">
        <v>566</v>
      </c>
      <c r="M200" s="38" t="s">
        <v>1830</v>
      </c>
      <c r="N200" s="100" t="s">
        <v>1831</v>
      </c>
      <c r="O200" s="153" t="s">
        <v>1260</v>
      </c>
      <c r="P200" s="153" t="s">
        <v>1260</v>
      </c>
    </row>
    <row r="201" spans="3:16" ht="15.75" thickBot="1">
      <c r="C201" s="2"/>
      <c r="D201" s="13" t="s">
        <v>2023</v>
      </c>
      <c r="E201" s="14">
        <v>37</v>
      </c>
      <c r="F201" s="15">
        <v>50</v>
      </c>
      <c r="G201" s="14">
        <v>420</v>
      </c>
      <c r="H201" s="28">
        <v>21</v>
      </c>
      <c r="I201" s="136">
        <v>24</v>
      </c>
      <c r="J201" s="27" t="s">
        <v>715</v>
      </c>
      <c r="K201" s="28">
        <v>1480</v>
      </c>
      <c r="L201" s="28" t="s">
        <v>566</v>
      </c>
      <c r="M201" s="38" t="s">
        <v>1830</v>
      </c>
      <c r="N201" s="100" t="s">
        <v>1831</v>
      </c>
      <c r="O201" s="153" t="s">
        <v>1260</v>
      </c>
      <c r="P201" s="153" t="s">
        <v>1260</v>
      </c>
    </row>
    <row r="202" spans="3:16" ht="15.75" thickBot="1">
      <c r="C202" s="2"/>
      <c r="D202" s="13" t="s">
        <v>2024</v>
      </c>
      <c r="E202" s="14">
        <v>30</v>
      </c>
      <c r="F202" s="15">
        <v>40</v>
      </c>
      <c r="G202" s="14">
        <v>395</v>
      </c>
      <c r="H202" s="28">
        <v>19</v>
      </c>
      <c r="I202" s="136">
        <v>21</v>
      </c>
      <c r="J202" s="27" t="s">
        <v>715</v>
      </c>
      <c r="K202" s="28">
        <v>1480</v>
      </c>
      <c r="L202" s="28" t="s">
        <v>566</v>
      </c>
      <c r="M202" s="38" t="s">
        <v>1830</v>
      </c>
      <c r="N202" s="100" t="s">
        <v>1831</v>
      </c>
      <c r="O202" s="153" t="s">
        <v>1260</v>
      </c>
      <c r="P202" s="153" t="s">
        <v>1260</v>
      </c>
    </row>
    <row r="203" spans="3:16" ht="15.75" thickBot="1">
      <c r="C203" s="2"/>
      <c r="D203" s="13" t="s">
        <v>2025</v>
      </c>
      <c r="E203" s="14">
        <v>22</v>
      </c>
      <c r="F203" s="15">
        <v>30</v>
      </c>
      <c r="G203" s="14">
        <v>370</v>
      </c>
      <c r="H203" s="28">
        <v>14</v>
      </c>
      <c r="I203" s="136">
        <v>16</v>
      </c>
      <c r="J203" s="27" t="s">
        <v>715</v>
      </c>
      <c r="K203" s="28">
        <v>1480</v>
      </c>
      <c r="L203" s="28" t="s">
        <v>566</v>
      </c>
      <c r="M203" s="38" t="s">
        <v>1830</v>
      </c>
      <c r="N203" s="100" t="s">
        <v>1831</v>
      </c>
      <c r="O203" s="153" t="s">
        <v>1260</v>
      </c>
      <c r="P203" s="153" t="s">
        <v>1260</v>
      </c>
    </row>
    <row r="204" spans="3:16" ht="15.75" thickBot="1">
      <c r="C204" s="2"/>
      <c r="D204" s="13" t="s">
        <v>2026</v>
      </c>
      <c r="E204" s="14">
        <v>15</v>
      </c>
      <c r="F204" s="15">
        <v>20</v>
      </c>
      <c r="G204" s="14">
        <v>344</v>
      </c>
      <c r="H204" s="28">
        <v>10</v>
      </c>
      <c r="I204" s="136">
        <v>11</v>
      </c>
      <c r="J204" s="27" t="s">
        <v>715</v>
      </c>
      <c r="K204" s="28">
        <v>1480</v>
      </c>
      <c r="L204" s="28" t="s">
        <v>566</v>
      </c>
      <c r="M204" s="38" t="s">
        <v>1830</v>
      </c>
      <c r="N204" s="100" t="s">
        <v>1831</v>
      </c>
      <c r="O204" s="153" t="s">
        <v>1260</v>
      </c>
      <c r="P204" s="153" t="s">
        <v>1260</v>
      </c>
    </row>
    <row r="205" spans="3:16" ht="15.75" thickBot="1">
      <c r="C205" s="2"/>
      <c r="D205" s="13" t="s">
        <v>2027</v>
      </c>
      <c r="E205" s="14">
        <v>75</v>
      </c>
      <c r="F205" s="15">
        <v>100</v>
      </c>
      <c r="G205" s="14">
        <v>450</v>
      </c>
      <c r="H205" s="28">
        <v>40</v>
      </c>
      <c r="I205" s="136">
        <v>44</v>
      </c>
      <c r="J205" s="27" t="s">
        <v>715</v>
      </c>
      <c r="K205" s="28">
        <v>1480</v>
      </c>
      <c r="L205" s="28" t="s">
        <v>566</v>
      </c>
      <c r="M205" s="38" t="s">
        <v>1830</v>
      </c>
      <c r="N205" s="100" t="s">
        <v>1831</v>
      </c>
      <c r="O205" s="153" t="s">
        <v>1260</v>
      </c>
      <c r="P205" s="153" t="s">
        <v>1260</v>
      </c>
    </row>
    <row r="206" spans="3:16" ht="15.75" thickBot="1">
      <c r="C206" s="2"/>
      <c r="D206" s="13" t="s">
        <v>2028</v>
      </c>
      <c r="E206" s="14">
        <v>75</v>
      </c>
      <c r="F206" s="15">
        <v>100</v>
      </c>
      <c r="G206" s="14">
        <v>423</v>
      </c>
      <c r="H206" s="28">
        <v>35</v>
      </c>
      <c r="I206" s="136">
        <v>39</v>
      </c>
      <c r="J206" s="27" t="s">
        <v>715</v>
      </c>
      <c r="K206" s="28">
        <v>1480</v>
      </c>
      <c r="L206" s="28" t="s">
        <v>566</v>
      </c>
      <c r="M206" s="38" t="s">
        <v>1830</v>
      </c>
      <c r="N206" s="100" t="s">
        <v>1831</v>
      </c>
      <c r="O206" s="153" t="s">
        <v>1260</v>
      </c>
      <c r="P206" s="153" t="s">
        <v>1260</v>
      </c>
    </row>
    <row r="207" spans="3:16" ht="15.75" thickBot="1">
      <c r="C207" s="2"/>
      <c r="D207" s="13" t="s">
        <v>2029</v>
      </c>
      <c r="E207" s="14">
        <v>45</v>
      </c>
      <c r="F207" s="15">
        <v>60</v>
      </c>
      <c r="G207" s="14">
        <v>396</v>
      </c>
      <c r="H207" s="28">
        <v>27</v>
      </c>
      <c r="I207" s="136">
        <v>30</v>
      </c>
      <c r="J207" s="27" t="s">
        <v>715</v>
      </c>
      <c r="K207" s="28">
        <v>1480</v>
      </c>
      <c r="L207" s="28" t="s">
        <v>566</v>
      </c>
      <c r="M207" s="38" t="s">
        <v>1830</v>
      </c>
      <c r="N207" s="100" t="s">
        <v>1831</v>
      </c>
      <c r="O207" s="153" t="s">
        <v>1260</v>
      </c>
      <c r="P207" s="153" t="s">
        <v>1260</v>
      </c>
    </row>
    <row r="208" spans="3:16" ht="15.75" thickBot="1">
      <c r="C208" s="2"/>
      <c r="D208" s="13" t="s">
        <v>2030</v>
      </c>
      <c r="E208" s="14">
        <v>30</v>
      </c>
      <c r="F208" s="15">
        <v>40</v>
      </c>
      <c r="G208" s="14">
        <v>369</v>
      </c>
      <c r="H208" s="28">
        <v>18</v>
      </c>
      <c r="I208" s="136">
        <v>20</v>
      </c>
      <c r="J208" s="27" t="s">
        <v>715</v>
      </c>
      <c r="K208" s="28">
        <v>1480</v>
      </c>
      <c r="L208" s="28" t="s">
        <v>566</v>
      </c>
      <c r="M208" s="38" t="s">
        <v>1830</v>
      </c>
      <c r="N208" s="100" t="s">
        <v>1831</v>
      </c>
      <c r="O208" s="153" t="s">
        <v>1260</v>
      </c>
      <c r="P208" s="153" t="s">
        <v>1260</v>
      </c>
    </row>
    <row r="209" spans="3:16" ht="15.75" thickBot="1">
      <c r="C209" s="2"/>
      <c r="D209" s="13" t="s">
        <v>2031</v>
      </c>
      <c r="E209" s="14">
        <v>55</v>
      </c>
      <c r="F209" s="15">
        <v>75</v>
      </c>
      <c r="G209" s="14">
        <v>385</v>
      </c>
      <c r="H209" s="28">
        <v>36</v>
      </c>
      <c r="I209" s="136">
        <v>40</v>
      </c>
      <c r="J209" s="27" t="s">
        <v>715</v>
      </c>
      <c r="K209" s="28">
        <v>1480</v>
      </c>
      <c r="L209" s="28" t="s">
        <v>566</v>
      </c>
      <c r="M209" s="38" t="s">
        <v>1830</v>
      </c>
      <c r="N209" s="100" t="s">
        <v>1831</v>
      </c>
      <c r="O209" s="153" t="s">
        <v>1260</v>
      </c>
      <c r="P209" s="153" t="s">
        <v>1260</v>
      </c>
    </row>
    <row r="210" spans="3:16" ht="15.75" thickBot="1">
      <c r="C210" s="2"/>
      <c r="D210" s="13" t="s">
        <v>2032</v>
      </c>
      <c r="E210" s="14">
        <v>45</v>
      </c>
      <c r="F210" s="15">
        <v>60</v>
      </c>
      <c r="G210" s="14">
        <v>362</v>
      </c>
      <c r="H210" s="28">
        <v>32</v>
      </c>
      <c r="I210" s="136">
        <v>35</v>
      </c>
      <c r="J210" s="27" t="s">
        <v>715</v>
      </c>
      <c r="K210" s="28">
        <v>1480</v>
      </c>
      <c r="L210" s="28" t="s">
        <v>566</v>
      </c>
      <c r="M210" s="38" t="s">
        <v>1830</v>
      </c>
      <c r="N210" s="100" t="s">
        <v>1831</v>
      </c>
      <c r="O210" s="153" t="s">
        <v>1260</v>
      </c>
      <c r="P210" s="153" t="s">
        <v>1260</v>
      </c>
    </row>
    <row r="211" spans="3:16" ht="15.75" thickBot="1">
      <c r="C211" s="2"/>
      <c r="D211" s="13" t="s">
        <v>2033</v>
      </c>
      <c r="E211" s="14">
        <v>37</v>
      </c>
      <c r="F211" s="15">
        <v>50</v>
      </c>
      <c r="G211" s="14">
        <v>339</v>
      </c>
      <c r="H211" s="28">
        <v>25</v>
      </c>
      <c r="I211" s="136">
        <v>27</v>
      </c>
      <c r="J211" s="27" t="s">
        <v>715</v>
      </c>
      <c r="K211" s="28">
        <v>1480</v>
      </c>
      <c r="L211" s="28" t="s">
        <v>566</v>
      </c>
      <c r="M211" s="38" t="s">
        <v>1830</v>
      </c>
      <c r="N211" s="100" t="s">
        <v>1831</v>
      </c>
      <c r="O211" s="153" t="s">
        <v>1260</v>
      </c>
      <c r="P211" s="153" t="s">
        <v>1260</v>
      </c>
    </row>
    <row r="212" spans="3:16" ht="15.75" thickBot="1">
      <c r="C212" s="2"/>
      <c r="D212" s="13" t="s">
        <v>2034</v>
      </c>
      <c r="E212" s="14">
        <v>22</v>
      </c>
      <c r="F212" s="15">
        <v>30</v>
      </c>
      <c r="G212" s="14">
        <v>316</v>
      </c>
      <c r="H212" s="28">
        <v>17</v>
      </c>
      <c r="I212" s="136">
        <v>18</v>
      </c>
      <c r="J212" s="27" t="s">
        <v>715</v>
      </c>
      <c r="K212" s="28">
        <v>1480</v>
      </c>
      <c r="L212" s="28" t="s">
        <v>566</v>
      </c>
      <c r="M212" s="38" t="s">
        <v>1830</v>
      </c>
      <c r="N212" s="100" t="s">
        <v>1831</v>
      </c>
      <c r="O212" s="153" t="s">
        <v>1260</v>
      </c>
      <c r="P212" s="153" t="s">
        <v>1260</v>
      </c>
    </row>
    <row r="213" spans="3:16" ht="15.75" thickBot="1">
      <c r="C213" s="2"/>
      <c r="D213" s="13" t="s">
        <v>2035</v>
      </c>
      <c r="E213" s="14">
        <v>160</v>
      </c>
      <c r="F213" s="15">
        <v>220</v>
      </c>
      <c r="G213" s="14">
        <v>520</v>
      </c>
      <c r="H213" s="28">
        <v>69</v>
      </c>
      <c r="I213" s="136">
        <v>77</v>
      </c>
      <c r="J213" s="27" t="s">
        <v>715</v>
      </c>
      <c r="K213" s="28">
        <v>1480</v>
      </c>
      <c r="L213" s="28" t="s">
        <v>566</v>
      </c>
      <c r="M213" s="38" t="s">
        <v>1830</v>
      </c>
      <c r="N213" s="100" t="s">
        <v>1831</v>
      </c>
      <c r="O213" s="153" t="s">
        <v>1260</v>
      </c>
      <c r="P213" s="153" t="s">
        <v>1260</v>
      </c>
    </row>
    <row r="214" spans="3:16" ht="15.75" thickBot="1">
      <c r="C214" s="2"/>
      <c r="D214" s="13" t="s">
        <v>2036</v>
      </c>
      <c r="E214" s="14">
        <v>132</v>
      </c>
      <c r="F214" s="15">
        <v>180</v>
      </c>
      <c r="G214" s="14">
        <v>489</v>
      </c>
      <c r="H214" s="28">
        <v>61</v>
      </c>
      <c r="I214" s="136">
        <v>68</v>
      </c>
      <c r="J214" s="27" t="s">
        <v>715</v>
      </c>
      <c r="K214" s="28">
        <v>1480</v>
      </c>
      <c r="L214" s="28" t="s">
        <v>566</v>
      </c>
      <c r="M214" s="38" t="s">
        <v>1830</v>
      </c>
      <c r="N214" s="100" t="s">
        <v>1831</v>
      </c>
      <c r="O214" s="153" t="s">
        <v>1260</v>
      </c>
      <c r="P214" s="153" t="s">
        <v>1260</v>
      </c>
    </row>
    <row r="215" spans="3:16" ht="15.75" thickBot="1">
      <c r="C215" s="2"/>
      <c r="D215" s="13" t="s">
        <v>2037</v>
      </c>
      <c r="E215" s="14">
        <v>90</v>
      </c>
      <c r="F215" s="15">
        <v>125</v>
      </c>
      <c r="G215" s="14">
        <v>452</v>
      </c>
      <c r="H215" s="28">
        <v>46</v>
      </c>
      <c r="I215" s="136">
        <v>51</v>
      </c>
      <c r="J215" s="27" t="s">
        <v>715</v>
      </c>
      <c r="K215" s="28">
        <v>1480</v>
      </c>
      <c r="L215" s="28" t="s">
        <v>566</v>
      </c>
      <c r="M215" s="38" t="s">
        <v>1830</v>
      </c>
      <c r="N215" s="100" t="s">
        <v>1831</v>
      </c>
      <c r="O215" s="153" t="s">
        <v>1260</v>
      </c>
      <c r="P215" s="153" t="s">
        <v>1260</v>
      </c>
    </row>
    <row r="216" spans="3:16" ht="15.75" thickBot="1">
      <c r="C216" s="2"/>
      <c r="D216" s="13" t="s">
        <v>2038</v>
      </c>
      <c r="E216" s="14">
        <v>55</v>
      </c>
      <c r="F216" s="15">
        <v>75</v>
      </c>
      <c r="G216" s="14">
        <v>416</v>
      </c>
      <c r="H216" s="28">
        <v>30</v>
      </c>
      <c r="I216" s="136">
        <v>33</v>
      </c>
      <c r="J216" s="27" t="s">
        <v>715</v>
      </c>
      <c r="K216" s="28">
        <v>1480</v>
      </c>
      <c r="L216" s="28" t="s">
        <v>566</v>
      </c>
      <c r="M216" s="38" t="s">
        <v>1830</v>
      </c>
      <c r="N216" s="100" t="s">
        <v>1831</v>
      </c>
      <c r="O216" s="153" t="s">
        <v>1260</v>
      </c>
      <c r="P216" s="153" t="s">
        <v>1260</v>
      </c>
    </row>
    <row r="217" spans="3:16" ht="15.75" thickBot="1">
      <c r="C217" s="2"/>
      <c r="D217" s="13" t="s">
        <v>2039</v>
      </c>
      <c r="E217" s="14">
        <v>132</v>
      </c>
      <c r="F217" s="15">
        <v>180</v>
      </c>
      <c r="G217" s="14">
        <v>450</v>
      </c>
      <c r="H217" s="28">
        <v>62</v>
      </c>
      <c r="I217" s="136">
        <v>69</v>
      </c>
      <c r="J217" s="27" t="s">
        <v>715</v>
      </c>
      <c r="K217" s="28">
        <v>1480</v>
      </c>
      <c r="L217" s="28" t="s">
        <v>566</v>
      </c>
      <c r="M217" s="38" t="s">
        <v>1830</v>
      </c>
      <c r="N217" s="100" t="s">
        <v>1831</v>
      </c>
      <c r="O217" s="153" t="s">
        <v>1260</v>
      </c>
      <c r="P217" s="153" t="s">
        <v>1260</v>
      </c>
    </row>
    <row r="218" spans="3:16" ht="15.75" thickBot="1">
      <c r="C218" s="2"/>
      <c r="D218" s="13" t="s">
        <v>2040</v>
      </c>
      <c r="E218" s="14">
        <v>110</v>
      </c>
      <c r="F218" s="15">
        <v>150</v>
      </c>
      <c r="G218" s="14">
        <v>423</v>
      </c>
      <c r="H218" s="28">
        <v>55</v>
      </c>
      <c r="I218" s="136">
        <v>61</v>
      </c>
      <c r="J218" s="27" t="s">
        <v>715</v>
      </c>
      <c r="K218" s="28">
        <v>1480</v>
      </c>
      <c r="L218" s="28" t="s">
        <v>566</v>
      </c>
      <c r="M218" s="38" t="s">
        <v>1830</v>
      </c>
      <c r="N218" s="100" t="s">
        <v>1831</v>
      </c>
      <c r="O218" s="153" t="s">
        <v>1260</v>
      </c>
      <c r="P218" s="153" t="s">
        <v>1260</v>
      </c>
    </row>
    <row r="219" spans="3:16" ht="15.75" thickBot="1">
      <c r="C219" s="2"/>
      <c r="D219" s="13" t="s">
        <v>2041</v>
      </c>
      <c r="E219" s="14">
        <v>75</v>
      </c>
      <c r="F219" s="15">
        <v>100</v>
      </c>
      <c r="G219" s="14">
        <v>392</v>
      </c>
      <c r="H219" s="28">
        <v>42</v>
      </c>
      <c r="I219" s="136">
        <v>46</v>
      </c>
      <c r="J219" s="27" t="s">
        <v>715</v>
      </c>
      <c r="K219" s="28">
        <v>1480</v>
      </c>
      <c r="L219" s="28" t="s">
        <v>566</v>
      </c>
      <c r="M219" s="38" t="s">
        <v>1830</v>
      </c>
      <c r="N219" s="100" t="s">
        <v>1831</v>
      </c>
      <c r="O219" s="153" t="s">
        <v>1260</v>
      </c>
      <c r="P219" s="153" t="s">
        <v>1260</v>
      </c>
    </row>
    <row r="220" spans="3:16" ht="15.75" thickBot="1">
      <c r="C220" s="2"/>
      <c r="D220" s="13" t="s">
        <v>2042</v>
      </c>
      <c r="E220" s="14">
        <v>45</v>
      </c>
      <c r="F220" s="15">
        <v>60</v>
      </c>
      <c r="G220" s="14">
        <v>360</v>
      </c>
      <c r="H220" s="28">
        <v>27</v>
      </c>
      <c r="I220" s="136">
        <v>30</v>
      </c>
      <c r="J220" s="27" t="s">
        <v>715</v>
      </c>
      <c r="K220" s="28">
        <v>1480</v>
      </c>
      <c r="L220" s="28" t="s">
        <v>566</v>
      </c>
      <c r="M220" s="38" t="s">
        <v>1830</v>
      </c>
      <c r="N220" s="100" t="s">
        <v>1831</v>
      </c>
      <c r="O220" s="153" t="s">
        <v>1260</v>
      </c>
      <c r="P220" s="153" t="s">
        <v>1260</v>
      </c>
    </row>
    <row r="221" spans="3:16" ht="15.75" thickBot="1">
      <c r="C221" s="2"/>
      <c r="D221" s="13" t="s">
        <v>2043</v>
      </c>
      <c r="E221" s="14">
        <v>280</v>
      </c>
      <c r="F221" s="15">
        <v>380</v>
      </c>
      <c r="G221" s="14">
        <v>600</v>
      </c>
      <c r="H221" s="28">
        <v>109</v>
      </c>
      <c r="I221" s="136">
        <v>119</v>
      </c>
      <c r="J221" s="27" t="s">
        <v>715</v>
      </c>
      <c r="K221" s="28">
        <v>1480</v>
      </c>
      <c r="L221" s="28" t="s">
        <v>566</v>
      </c>
      <c r="M221" s="38" t="s">
        <v>1856</v>
      </c>
      <c r="N221" s="100" t="s">
        <v>1831</v>
      </c>
      <c r="O221" s="153" t="s">
        <v>1260</v>
      </c>
      <c r="P221" s="153" t="s">
        <v>1260</v>
      </c>
    </row>
    <row r="222" spans="3:16" ht="15.75" thickBot="1">
      <c r="C222" s="2"/>
      <c r="D222" s="13" t="s">
        <v>2044</v>
      </c>
      <c r="E222" s="14">
        <v>250</v>
      </c>
      <c r="F222" s="15">
        <v>340</v>
      </c>
      <c r="G222" s="14">
        <v>564</v>
      </c>
      <c r="H222" s="28">
        <v>96</v>
      </c>
      <c r="I222" s="136">
        <v>105</v>
      </c>
      <c r="J222" s="27" t="s">
        <v>715</v>
      </c>
      <c r="K222" s="28">
        <v>1480</v>
      </c>
      <c r="L222" s="28" t="s">
        <v>566</v>
      </c>
      <c r="M222" s="38" t="s">
        <v>1856</v>
      </c>
      <c r="N222" s="100" t="s">
        <v>1831</v>
      </c>
      <c r="O222" s="153" t="s">
        <v>1260</v>
      </c>
      <c r="P222" s="153" t="s">
        <v>1260</v>
      </c>
    </row>
    <row r="223" spans="3:16" ht="15.75" thickBot="1">
      <c r="C223" s="2"/>
      <c r="D223" s="13" t="s">
        <v>2045</v>
      </c>
      <c r="E223" s="14">
        <v>185</v>
      </c>
      <c r="F223" s="15">
        <v>250</v>
      </c>
      <c r="G223" s="14">
        <v>522</v>
      </c>
      <c r="H223" s="28">
        <v>73</v>
      </c>
      <c r="I223" s="136">
        <v>80</v>
      </c>
      <c r="J223" s="27" t="s">
        <v>715</v>
      </c>
      <c r="K223" s="28">
        <v>1480</v>
      </c>
      <c r="L223" s="28" t="s">
        <v>566</v>
      </c>
      <c r="M223" s="38" t="s">
        <v>1856</v>
      </c>
      <c r="N223" s="100" t="s">
        <v>1831</v>
      </c>
      <c r="O223" s="153" t="s">
        <v>1260</v>
      </c>
      <c r="P223" s="153" t="s">
        <v>1260</v>
      </c>
    </row>
    <row r="224" spans="3:16" ht="15.75" thickBot="1">
      <c r="C224" s="2"/>
      <c r="D224" s="13" t="s">
        <v>2046</v>
      </c>
      <c r="E224" s="14">
        <v>110</v>
      </c>
      <c r="F224" s="15">
        <v>150</v>
      </c>
      <c r="G224" s="14">
        <v>480</v>
      </c>
      <c r="H224" s="28">
        <v>47</v>
      </c>
      <c r="I224" s="136">
        <v>51</v>
      </c>
      <c r="J224" s="27" t="s">
        <v>715</v>
      </c>
      <c r="K224" s="28">
        <v>1480</v>
      </c>
      <c r="L224" s="28" t="s">
        <v>566</v>
      </c>
      <c r="M224" s="38" t="s">
        <v>1856</v>
      </c>
      <c r="N224" s="100" t="s">
        <v>1831</v>
      </c>
      <c r="O224" s="153" t="s">
        <v>1260</v>
      </c>
      <c r="P224" s="153" t="s">
        <v>1260</v>
      </c>
    </row>
    <row r="225" spans="3:16" ht="15.75" thickBot="1">
      <c r="C225" s="2"/>
      <c r="D225" s="13" t="s">
        <v>2047</v>
      </c>
      <c r="E225" s="14">
        <v>220</v>
      </c>
      <c r="F225" s="15">
        <v>300</v>
      </c>
      <c r="G225" s="14">
        <v>515</v>
      </c>
      <c r="H225" s="28">
        <v>98</v>
      </c>
      <c r="I225" s="136">
        <v>107</v>
      </c>
      <c r="J225" s="27" t="s">
        <v>715</v>
      </c>
      <c r="K225" s="28">
        <v>1480</v>
      </c>
      <c r="L225" s="28" t="s">
        <v>566</v>
      </c>
      <c r="M225" s="38" t="s">
        <v>1856</v>
      </c>
      <c r="N225" s="100" t="s">
        <v>1831</v>
      </c>
      <c r="O225" s="153" t="s">
        <v>1260</v>
      </c>
      <c r="P225" s="153" t="s">
        <v>1260</v>
      </c>
    </row>
    <row r="226" spans="3:16" ht="15.75" thickBot="1">
      <c r="C226" s="2"/>
      <c r="D226" s="13" t="s">
        <v>2048</v>
      </c>
      <c r="E226" s="14">
        <v>185</v>
      </c>
      <c r="F226" s="15">
        <v>250</v>
      </c>
      <c r="G226" s="14">
        <v>484</v>
      </c>
      <c r="H226" s="28">
        <v>87</v>
      </c>
      <c r="I226" s="136">
        <v>95</v>
      </c>
      <c r="J226" s="27" t="s">
        <v>715</v>
      </c>
      <c r="K226" s="28">
        <v>1480</v>
      </c>
      <c r="L226" s="28" t="s">
        <v>566</v>
      </c>
      <c r="M226" s="38" t="s">
        <v>1856</v>
      </c>
      <c r="N226" s="100" t="s">
        <v>1831</v>
      </c>
      <c r="O226" s="153" t="s">
        <v>1260</v>
      </c>
      <c r="P226" s="153" t="s">
        <v>1260</v>
      </c>
    </row>
    <row r="227" spans="3:16" ht="15.75" thickBot="1">
      <c r="C227" s="2"/>
      <c r="D227" s="13" t="s">
        <v>2049</v>
      </c>
      <c r="E227" s="14">
        <v>132</v>
      </c>
      <c r="F227" s="15">
        <v>180</v>
      </c>
      <c r="G227" s="14">
        <v>448</v>
      </c>
      <c r="H227" s="28">
        <v>66</v>
      </c>
      <c r="I227" s="136">
        <v>72</v>
      </c>
      <c r="J227" s="27" t="s">
        <v>715</v>
      </c>
      <c r="K227" s="28">
        <v>1480</v>
      </c>
      <c r="L227" s="28" t="s">
        <v>566</v>
      </c>
      <c r="M227" s="38" t="s">
        <v>1856</v>
      </c>
      <c r="N227" s="100" t="s">
        <v>1831</v>
      </c>
      <c r="O227" s="153" t="s">
        <v>1260</v>
      </c>
      <c r="P227" s="153" t="s">
        <v>1260</v>
      </c>
    </row>
    <row r="228" spans="3:16" ht="15.75" thickBot="1">
      <c r="C228" s="2"/>
      <c r="D228" s="13" t="s">
        <v>2050</v>
      </c>
      <c r="E228" s="14">
        <v>90</v>
      </c>
      <c r="F228" s="15">
        <v>125</v>
      </c>
      <c r="G228" s="14">
        <v>412</v>
      </c>
      <c r="H228" s="28">
        <v>42</v>
      </c>
      <c r="I228" s="136">
        <v>46</v>
      </c>
      <c r="J228" s="27" t="s">
        <v>715</v>
      </c>
      <c r="K228" s="28">
        <v>1480</v>
      </c>
      <c r="L228" s="28" t="s">
        <v>566</v>
      </c>
      <c r="M228" s="38" t="s">
        <v>1856</v>
      </c>
      <c r="N228" s="100" t="s">
        <v>1831</v>
      </c>
      <c r="O228" s="153" t="s">
        <v>1260</v>
      </c>
      <c r="P228" s="153" t="s">
        <v>1260</v>
      </c>
    </row>
    <row r="229" spans="3:16" ht="15.75" thickBot="1">
      <c r="C229" s="2"/>
      <c r="D229" s="13" t="s">
        <v>2051</v>
      </c>
      <c r="E229" s="14">
        <v>11</v>
      </c>
      <c r="F229" s="15">
        <v>15</v>
      </c>
      <c r="G229" s="14">
        <v>250</v>
      </c>
      <c r="H229" s="28">
        <v>9</v>
      </c>
      <c r="I229" s="136">
        <v>10.4</v>
      </c>
      <c r="J229" s="27" t="s">
        <v>800</v>
      </c>
      <c r="K229" s="28">
        <v>1480</v>
      </c>
      <c r="L229" s="28" t="s">
        <v>566</v>
      </c>
      <c r="M229" s="38" t="s">
        <v>1830</v>
      </c>
      <c r="N229" s="100" t="s">
        <v>1831</v>
      </c>
      <c r="O229" s="153" t="s">
        <v>1260</v>
      </c>
      <c r="P229" s="153" t="s">
        <v>1260</v>
      </c>
    </row>
    <row r="230" spans="3:16" ht="15.75" thickBot="1">
      <c r="C230" s="2"/>
      <c r="D230" s="13" t="s">
        <v>2052</v>
      </c>
      <c r="E230" s="14">
        <v>11</v>
      </c>
      <c r="F230" s="15">
        <v>15</v>
      </c>
      <c r="G230" s="14">
        <v>235</v>
      </c>
      <c r="H230" s="28">
        <v>8</v>
      </c>
      <c r="I230" s="136">
        <v>9</v>
      </c>
      <c r="J230" s="27" t="s">
        <v>800</v>
      </c>
      <c r="K230" s="28">
        <v>1480</v>
      </c>
      <c r="L230" s="28" t="s">
        <v>566</v>
      </c>
      <c r="M230" s="38" t="s">
        <v>1830</v>
      </c>
      <c r="N230" s="100" t="s">
        <v>1831</v>
      </c>
      <c r="O230" s="153" t="s">
        <v>1260</v>
      </c>
      <c r="P230" s="153" t="s">
        <v>1260</v>
      </c>
    </row>
    <row r="231" spans="3:16" ht="15.75" thickBot="1">
      <c r="C231" s="2"/>
      <c r="D231" s="13" t="s">
        <v>2053</v>
      </c>
      <c r="E231" s="14">
        <v>7.5</v>
      </c>
      <c r="F231" s="15">
        <v>10</v>
      </c>
      <c r="G231" s="14">
        <v>223</v>
      </c>
      <c r="H231" s="28">
        <v>6</v>
      </c>
      <c r="I231" s="136">
        <v>7</v>
      </c>
      <c r="J231" s="27" t="s">
        <v>800</v>
      </c>
      <c r="K231" s="28">
        <v>1480</v>
      </c>
      <c r="L231" s="28" t="s">
        <v>566</v>
      </c>
      <c r="M231" s="38" t="s">
        <v>1830</v>
      </c>
      <c r="N231" s="100" t="s">
        <v>1831</v>
      </c>
      <c r="O231" s="153" t="s">
        <v>1260</v>
      </c>
      <c r="P231" s="153" t="s">
        <v>1260</v>
      </c>
    </row>
    <row r="232" spans="3:16" ht="15.75" thickBot="1">
      <c r="C232" s="2"/>
      <c r="D232" s="13" t="s">
        <v>2054</v>
      </c>
      <c r="E232" s="14">
        <v>5.5</v>
      </c>
      <c r="F232" s="15">
        <v>7.5</v>
      </c>
      <c r="G232" s="14">
        <v>211</v>
      </c>
      <c r="H232" s="28">
        <v>5</v>
      </c>
      <c r="I232" s="136">
        <v>5</v>
      </c>
      <c r="J232" s="27" t="s">
        <v>800</v>
      </c>
      <c r="K232" s="28">
        <v>1480</v>
      </c>
      <c r="L232" s="28" t="s">
        <v>566</v>
      </c>
      <c r="M232" s="38" t="s">
        <v>1830</v>
      </c>
      <c r="N232" s="100" t="s">
        <v>1831</v>
      </c>
      <c r="O232" s="153" t="s">
        <v>1260</v>
      </c>
      <c r="P232" s="153" t="s">
        <v>1260</v>
      </c>
    </row>
    <row r="233" spans="3:16" ht="15.75" thickBot="1">
      <c r="C233" s="2"/>
      <c r="D233" s="13" t="s">
        <v>2055</v>
      </c>
      <c r="E233" s="14">
        <v>7.5</v>
      </c>
      <c r="F233" s="15">
        <v>10</v>
      </c>
      <c r="G233" s="14">
        <v>214</v>
      </c>
      <c r="H233" s="28">
        <v>8.1</v>
      </c>
      <c r="I233" s="136">
        <v>9.4</v>
      </c>
      <c r="J233" s="27" t="s">
        <v>800</v>
      </c>
      <c r="K233" s="28">
        <v>1480</v>
      </c>
      <c r="L233" s="28" t="s">
        <v>566</v>
      </c>
      <c r="M233" s="38" t="s">
        <v>1830</v>
      </c>
      <c r="N233" s="100" t="s">
        <v>1831</v>
      </c>
      <c r="O233" s="153" t="s">
        <v>1260</v>
      </c>
      <c r="P233" s="153" t="s">
        <v>1260</v>
      </c>
    </row>
    <row r="234" spans="3:16" ht="15.75" thickBot="1">
      <c r="C234" s="2"/>
      <c r="D234" s="13" t="s">
        <v>2056</v>
      </c>
      <c r="E234" s="14">
        <v>7.5</v>
      </c>
      <c r="F234" s="15">
        <v>10</v>
      </c>
      <c r="G234" s="14">
        <v>201</v>
      </c>
      <c r="H234" s="28">
        <v>7</v>
      </c>
      <c r="I234" s="136">
        <v>8</v>
      </c>
      <c r="J234" s="27" t="s">
        <v>800</v>
      </c>
      <c r="K234" s="28">
        <v>1480</v>
      </c>
      <c r="L234" s="28" t="s">
        <v>566</v>
      </c>
      <c r="M234" s="38" t="s">
        <v>1830</v>
      </c>
      <c r="N234" s="100" t="s">
        <v>1831</v>
      </c>
      <c r="O234" s="153" t="s">
        <v>1260</v>
      </c>
      <c r="P234" s="153" t="s">
        <v>1260</v>
      </c>
    </row>
    <row r="235" spans="3:16" ht="15.75" thickBot="1">
      <c r="C235" s="2"/>
      <c r="D235" s="13" t="s">
        <v>2057</v>
      </c>
      <c r="E235" s="14">
        <v>5.5</v>
      </c>
      <c r="F235" s="15">
        <v>7.5</v>
      </c>
      <c r="G235" s="14">
        <v>191</v>
      </c>
      <c r="H235" s="28">
        <v>6</v>
      </c>
      <c r="I235" s="136">
        <v>7</v>
      </c>
      <c r="J235" s="27" t="s">
        <v>800</v>
      </c>
      <c r="K235" s="28">
        <v>1480</v>
      </c>
      <c r="L235" s="28" t="s">
        <v>566</v>
      </c>
      <c r="M235" s="38" t="s">
        <v>1830</v>
      </c>
      <c r="N235" s="100" t="s">
        <v>1831</v>
      </c>
      <c r="O235" s="153" t="s">
        <v>1260</v>
      </c>
      <c r="P235" s="153" t="s">
        <v>1260</v>
      </c>
    </row>
    <row r="236" spans="3:16" ht="15.75" thickBot="1">
      <c r="C236" s="2"/>
      <c r="D236" s="13" t="s">
        <v>2058</v>
      </c>
      <c r="E236" s="14">
        <v>4</v>
      </c>
      <c r="F236" s="15">
        <v>5.5</v>
      </c>
      <c r="G236" s="14">
        <v>181</v>
      </c>
      <c r="H236" s="28">
        <v>4</v>
      </c>
      <c r="I236" s="136">
        <v>5</v>
      </c>
      <c r="J236" s="27" t="s">
        <v>800</v>
      </c>
      <c r="K236" s="28">
        <v>1480</v>
      </c>
      <c r="L236" s="28" t="s">
        <v>566</v>
      </c>
      <c r="M236" s="38" t="s">
        <v>1830</v>
      </c>
      <c r="N236" s="100" t="s">
        <v>1831</v>
      </c>
      <c r="O236" s="153" t="s">
        <v>1260</v>
      </c>
      <c r="P236" s="153" t="s">
        <v>1260</v>
      </c>
    </row>
    <row r="237" spans="3:16" ht="15.75" thickBot="1">
      <c r="C237" s="2"/>
      <c r="D237" s="13" t="s">
        <v>2059</v>
      </c>
      <c r="E237" s="14">
        <v>30</v>
      </c>
      <c r="F237" s="15">
        <v>40</v>
      </c>
      <c r="G237" s="14">
        <v>490</v>
      </c>
      <c r="H237" s="28">
        <v>14</v>
      </c>
      <c r="I237" s="136">
        <v>18</v>
      </c>
      <c r="J237" s="27" t="s">
        <v>718</v>
      </c>
      <c r="K237" s="28">
        <v>1480</v>
      </c>
      <c r="L237" s="28" t="s">
        <v>566</v>
      </c>
      <c r="M237" s="38" t="s">
        <v>1830</v>
      </c>
      <c r="N237" s="100" t="s">
        <v>1831</v>
      </c>
      <c r="O237" s="153" t="s">
        <v>1260</v>
      </c>
      <c r="P237" s="153" t="s">
        <v>1260</v>
      </c>
    </row>
    <row r="238" spans="3:16" ht="15.75" thickBot="1">
      <c r="C238" s="2"/>
      <c r="D238" s="13" t="s">
        <v>2060</v>
      </c>
      <c r="E238" s="14">
        <v>30</v>
      </c>
      <c r="F238" s="15">
        <v>40</v>
      </c>
      <c r="G238" s="14">
        <v>461</v>
      </c>
      <c r="H238" s="28">
        <v>12</v>
      </c>
      <c r="I238" s="136">
        <v>16</v>
      </c>
      <c r="J238" s="27" t="s">
        <v>718</v>
      </c>
      <c r="K238" s="28">
        <v>1480</v>
      </c>
      <c r="L238" s="28" t="s">
        <v>566</v>
      </c>
      <c r="M238" s="38" t="s">
        <v>1830</v>
      </c>
      <c r="N238" s="100" t="s">
        <v>1831</v>
      </c>
      <c r="O238" s="153" t="s">
        <v>1260</v>
      </c>
      <c r="P238" s="153" t="s">
        <v>1260</v>
      </c>
    </row>
    <row r="239" spans="3:16" ht="15.75" thickBot="1">
      <c r="C239" s="2"/>
      <c r="D239" s="13" t="s">
        <v>2061</v>
      </c>
      <c r="E239" s="14">
        <v>18.5</v>
      </c>
      <c r="F239" s="15">
        <v>25</v>
      </c>
      <c r="G239" s="14">
        <v>437</v>
      </c>
      <c r="H239" s="28">
        <v>10</v>
      </c>
      <c r="I239" s="136">
        <v>13</v>
      </c>
      <c r="J239" s="27" t="s">
        <v>718</v>
      </c>
      <c r="K239" s="28">
        <v>1480</v>
      </c>
      <c r="L239" s="28" t="s">
        <v>566</v>
      </c>
      <c r="M239" s="38" t="s">
        <v>1830</v>
      </c>
      <c r="N239" s="100" t="s">
        <v>1831</v>
      </c>
      <c r="O239" s="153" t="s">
        <v>1260</v>
      </c>
      <c r="P239" s="153" t="s">
        <v>1260</v>
      </c>
    </row>
    <row r="240" spans="3:16" ht="15.75" thickBot="1">
      <c r="C240" s="2"/>
      <c r="D240" s="13" t="s">
        <v>2062</v>
      </c>
      <c r="E240" s="14">
        <v>15</v>
      </c>
      <c r="F240" s="15">
        <v>20</v>
      </c>
      <c r="G240" s="14">
        <v>413</v>
      </c>
      <c r="H240" s="28">
        <v>7</v>
      </c>
      <c r="I240" s="136">
        <v>9</v>
      </c>
      <c r="J240" s="27" t="s">
        <v>718</v>
      </c>
      <c r="K240" s="28">
        <v>1480</v>
      </c>
      <c r="L240" s="28" t="s">
        <v>566</v>
      </c>
      <c r="M240" s="38" t="s">
        <v>1830</v>
      </c>
      <c r="N240" s="100" t="s">
        <v>1831</v>
      </c>
      <c r="O240" s="153" t="s">
        <v>1260</v>
      </c>
      <c r="P240" s="153" t="s">
        <v>1260</v>
      </c>
    </row>
    <row r="241" spans="3:16" ht="15.75" thickBot="1">
      <c r="C241" s="2"/>
      <c r="D241" s="13" t="s">
        <v>2063</v>
      </c>
      <c r="E241" s="14">
        <v>22</v>
      </c>
      <c r="F241" s="15">
        <v>30</v>
      </c>
      <c r="G241" s="14">
        <v>420</v>
      </c>
      <c r="H241" s="28">
        <v>13</v>
      </c>
      <c r="I241" s="136">
        <v>16</v>
      </c>
      <c r="J241" s="27" t="s">
        <v>718</v>
      </c>
      <c r="K241" s="28">
        <v>1480</v>
      </c>
      <c r="L241" s="28" t="s">
        <v>566</v>
      </c>
      <c r="M241" s="38" t="s">
        <v>1830</v>
      </c>
      <c r="N241" s="100" t="s">
        <v>1831</v>
      </c>
      <c r="O241" s="153" t="s">
        <v>1260</v>
      </c>
      <c r="P241" s="153" t="s">
        <v>1260</v>
      </c>
    </row>
    <row r="242" spans="3:16" ht="15.75" thickBot="1">
      <c r="C242" s="2"/>
      <c r="D242" s="13" t="s">
        <v>2064</v>
      </c>
      <c r="E242" s="14">
        <v>18.5</v>
      </c>
      <c r="F242" s="15">
        <v>25</v>
      </c>
      <c r="G242" s="14">
        <v>395</v>
      </c>
      <c r="H242" s="28">
        <v>11</v>
      </c>
      <c r="I242" s="136">
        <v>14</v>
      </c>
      <c r="J242" s="27" t="s">
        <v>718</v>
      </c>
      <c r="K242" s="28">
        <v>1480</v>
      </c>
      <c r="L242" s="28" t="s">
        <v>566</v>
      </c>
      <c r="M242" s="38" t="s">
        <v>1830</v>
      </c>
      <c r="N242" s="100" t="s">
        <v>1831</v>
      </c>
      <c r="O242" s="153" t="s">
        <v>1260</v>
      </c>
      <c r="P242" s="153" t="s">
        <v>1260</v>
      </c>
    </row>
    <row r="243" spans="3:16" ht="15.75" thickBot="1">
      <c r="C243" s="2"/>
      <c r="D243" s="13" t="s">
        <v>2065</v>
      </c>
      <c r="E243" s="14">
        <v>15</v>
      </c>
      <c r="F243" s="15">
        <v>20</v>
      </c>
      <c r="G243" s="14">
        <v>375</v>
      </c>
      <c r="H243" s="28">
        <v>9</v>
      </c>
      <c r="I243" s="136">
        <v>11</v>
      </c>
      <c r="J243" s="27" t="s">
        <v>718</v>
      </c>
      <c r="K243" s="28">
        <v>1480</v>
      </c>
      <c r="L243" s="28" t="s">
        <v>566</v>
      </c>
      <c r="M243" s="38" t="s">
        <v>1830</v>
      </c>
      <c r="N243" s="100" t="s">
        <v>1831</v>
      </c>
      <c r="O243" s="153" t="s">
        <v>1260</v>
      </c>
      <c r="P243" s="153" t="s">
        <v>1260</v>
      </c>
    </row>
    <row r="244" spans="3:16" ht="15.75" thickBot="1">
      <c r="C244" s="2"/>
      <c r="D244" s="13" t="s">
        <v>2066</v>
      </c>
      <c r="E244" s="14">
        <v>11</v>
      </c>
      <c r="F244" s="15">
        <v>15</v>
      </c>
      <c r="G244" s="14">
        <v>354</v>
      </c>
      <c r="H244" s="28">
        <v>6</v>
      </c>
      <c r="I244" s="136">
        <v>8</v>
      </c>
      <c r="J244" s="27" t="s">
        <v>718</v>
      </c>
      <c r="K244" s="28">
        <v>1480</v>
      </c>
      <c r="L244" s="28" t="s">
        <v>566</v>
      </c>
      <c r="M244" s="38" t="s">
        <v>1830</v>
      </c>
      <c r="N244" s="100" t="s">
        <v>1831</v>
      </c>
      <c r="O244" s="153" t="s">
        <v>1260</v>
      </c>
      <c r="P244" s="153" t="s">
        <v>1260</v>
      </c>
    </row>
    <row r="245" spans="3:16" ht="15.75" thickBot="1">
      <c r="C245" s="2"/>
      <c r="D245" s="13" t="s">
        <v>2067</v>
      </c>
      <c r="E245" s="14">
        <v>90</v>
      </c>
      <c r="F245" s="15">
        <v>125</v>
      </c>
      <c r="G245" s="14">
        <v>760</v>
      </c>
      <c r="H245" s="28">
        <v>32</v>
      </c>
      <c r="I245" s="136">
        <v>39</v>
      </c>
      <c r="J245" s="27" t="s">
        <v>718</v>
      </c>
      <c r="K245" s="28">
        <v>1480</v>
      </c>
      <c r="L245" s="28" t="s">
        <v>566</v>
      </c>
      <c r="M245" s="38" t="s">
        <v>1830</v>
      </c>
      <c r="N245" s="100" t="s">
        <v>1831</v>
      </c>
      <c r="O245" s="153" t="s">
        <v>1260</v>
      </c>
      <c r="P245" s="153" t="s">
        <v>1260</v>
      </c>
    </row>
    <row r="246" spans="3:16" ht="15.75" thickBot="1">
      <c r="C246" s="2"/>
      <c r="D246" s="13" t="s">
        <v>2068</v>
      </c>
      <c r="E246" s="14">
        <v>75</v>
      </c>
      <c r="F246" s="15">
        <v>100</v>
      </c>
      <c r="G246" s="14">
        <v>714</v>
      </c>
      <c r="H246" s="28">
        <v>28</v>
      </c>
      <c r="I246" s="136">
        <v>34</v>
      </c>
      <c r="J246" s="27" t="s">
        <v>718</v>
      </c>
      <c r="K246" s="28">
        <v>1480</v>
      </c>
      <c r="L246" s="28" t="s">
        <v>566</v>
      </c>
      <c r="M246" s="38" t="s">
        <v>1830</v>
      </c>
      <c r="N246" s="100" t="s">
        <v>1831</v>
      </c>
      <c r="O246" s="153" t="s">
        <v>1260</v>
      </c>
      <c r="P246" s="153" t="s">
        <v>1260</v>
      </c>
    </row>
    <row r="247" spans="3:16" ht="15.75" thickBot="1">
      <c r="C247" s="2"/>
      <c r="D247" s="13" t="s">
        <v>2069</v>
      </c>
      <c r="E247" s="14">
        <v>55</v>
      </c>
      <c r="F247" s="15">
        <v>75</v>
      </c>
      <c r="G247" s="14">
        <v>669</v>
      </c>
      <c r="H247" s="28">
        <v>22</v>
      </c>
      <c r="I247" s="136">
        <v>27</v>
      </c>
      <c r="J247" s="27" t="s">
        <v>718</v>
      </c>
      <c r="K247" s="28">
        <v>1480</v>
      </c>
      <c r="L247" s="28" t="s">
        <v>566</v>
      </c>
      <c r="M247" s="38" t="s">
        <v>1830</v>
      </c>
      <c r="N247" s="100" t="s">
        <v>1831</v>
      </c>
      <c r="O247" s="153" t="s">
        <v>1260</v>
      </c>
      <c r="P247" s="153" t="s">
        <v>1260</v>
      </c>
    </row>
    <row r="248" spans="3:16" ht="15.75" thickBot="1">
      <c r="C248" s="2"/>
      <c r="D248" s="13" t="s">
        <v>2070</v>
      </c>
      <c r="E248" s="14">
        <v>37</v>
      </c>
      <c r="F248" s="15">
        <v>50</v>
      </c>
      <c r="G248" s="14">
        <v>622</v>
      </c>
      <c r="H248" s="28">
        <v>15</v>
      </c>
      <c r="I248" s="136">
        <v>18</v>
      </c>
      <c r="J248" s="27" t="s">
        <v>718</v>
      </c>
      <c r="K248" s="28">
        <v>1480</v>
      </c>
      <c r="L248" s="28" t="s">
        <v>566</v>
      </c>
      <c r="M248" s="38" t="s">
        <v>1830</v>
      </c>
      <c r="N248" s="100" t="s">
        <v>1831</v>
      </c>
      <c r="O248" s="153" t="s">
        <v>1260</v>
      </c>
      <c r="P248" s="153" t="s">
        <v>1260</v>
      </c>
    </row>
    <row r="249" spans="3:16" ht="15.75" thickBot="1">
      <c r="C249" s="2"/>
      <c r="D249" s="13" t="s">
        <v>2071</v>
      </c>
      <c r="E249" s="14">
        <v>75</v>
      </c>
      <c r="F249" s="15">
        <v>100</v>
      </c>
      <c r="G249" s="14">
        <v>650</v>
      </c>
      <c r="H249" s="28">
        <v>29</v>
      </c>
      <c r="I249" s="136">
        <v>35</v>
      </c>
      <c r="J249" s="27" t="s">
        <v>718</v>
      </c>
      <c r="K249" s="28">
        <v>1480</v>
      </c>
      <c r="L249" s="28" t="s">
        <v>566</v>
      </c>
      <c r="M249" s="38" t="s">
        <v>1830</v>
      </c>
      <c r="N249" s="100" t="s">
        <v>1831</v>
      </c>
      <c r="O249" s="153" t="s">
        <v>1260</v>
      </c>
      <c r="P249" s="153" t="s">
        <v>1260</v>
      </c>
    </row>
    <row r="250" spans="3:16" ht="15.75" thickBot="1">
      <c r="C250" s="2"/>
      <c r="D250" s="13" t="s">
        <v>2072</v>
      </c>
      <c r="E250" s="14">
        <v>75</v>
      </c>
      <c r="F250" s="15">
        <v>100</v>
      </c>
      <c r="G250" s="14">
        <v>611</v>
      </c>
      <c r="H250" s="28">
        <v>26</v>
      </c>
      <c r="I250" s="136">
        <v>31</v>
      </c>
      <c r="J250" s="27" t="s">
        <v>718</v>
      </c>
      <c r="K250" s="28">
        <v>1480</v>
      </c>
      <c r="L250" s="28" t="s">
        <v>566</v>
      </c>
      <c r="M250" s="38" t="s">
        <v>1830</v>
      </c>
      <c r="N250" s="100" t="s">
        <v>1831</v>
      </c>
      <c r="O250" s="153" t="s">
        <v>1260</v>
      </c>
      <c r="P250" s="153" t="s">
        <v>1260</v>
      </c>
    </row>
    <row r="251" spans="3:16" ht="15.75" thickBot="1">
      <c r="C251" s="2"/>
      <c r="D251" s="13" t="s">
        <v>2073</v>
      </c>
      <c r="E251" s="14">
        <v>45</v>
      </c>
      <c r="F251" s="15">
        <v>60</v>
      </c>
      <c r="G251" s="14">
        <v>572</v>
      </c>
      <c r="H251" s="28">
        <v>20</v>
      </c>
      <c r="I251" s="136">
        <v>24</v>
      </c>
      <c r="J251" s="27" t="s">
        <v>718</v>
      </c>
      <c r="K251" s="28">
        <v>1480</v>
      </c>
      <c r="L251" s="28" t="s">
        <v>566</v>
      </c>
      <c r="M251" s="38" t="s">
        <v>1830</v>
      </c>
      <c r="N251" s="100" t="s">
        <v>1831</v>
      </c>
      <c r="O251" s="153" t="s">
        <v>1260</v>
      </c>
      <c r="P251" s="153" t="s">
        <v>1260</v>
      </c>
    </row>
    <row r="252" spans="3:16" ht="15.75" thickBot="1">
      <c r="C252" s="2"/>
      <c r="D252" s="13" t="s">
        <v>2074</v>
      </c>
      <c r="E252" s="14">
        <v>30</v>
      </c>
      <c r="F252" s="15">
        <v>40</v>
      </c>
      <c r="G252" s="14">
        <v>532</v>
      </c>
      <c r="H252" s="28">
        <v>13</v>
      </c>
      <c r="I252" s="136">
        <v>16</v>
      </c>
      <c r="J252" s="27" t="s">
        <v>718</v>
      </c>
      <c r="K252" s="28">
        <v>1480</v>
      </c>
      <c r="L252" s="28" t="s">
        <v>566</v>
      </c>
      <c r="M252" s="38" t="s">
        <v>1830</v>
      </c>
      <c r="N252" s="100" t="s">
        <v>1831</v>
      </c>
      <c r="O252" s="153" t="s">
        <v>1260</v>
      </c>
      <c r="P252" s="153" t="s">
        <v>1260</v>
      </c>
    </row>
    <row r="253" spans="3:16" ht="15.75" thickBot="1">
      <c r="C253" s="2"/>
      <c r="D253" s="13" t="s">
        <v>2075</v>
      </c>
      <c r="E253" s="14">
        <v>185</v>
      </c>
      <c r="F253" s="15">
        <v>250</v>
      </c>
      <c r="G253" s="14">
        <v>770</v>
      </c>
      <c r="H253" s="28">
        <v>56</v>
      </c>
      <c r="I253" s="136">
        <v>64</v>
      </c>
      <c r="J253" s="27" t="s">
        <v>718</v>
      </c>
      <c r="K253" s="28">
        <v>1480</v>
      </c>
      <c r="L253" s="28" t="s">
        <v>566</v>
      </c>
      <c r="M253" s="38" t="s">
        <v>1830</v>
      </c>
      <c r="N253" s="100" t="s">
        <v>1831</v>
      </c>
      <c r="O253" s="153" t="s">
        <v>1260</v>
      </c>
      <c r="P253" s="153" t="s">
        <v>1260</v>
      </c>
    </row>
    <row r="254" spans="3:16" ht="15.75" thickBot="1">
      <c r="C254" s="2"/>
      <c r="D254" s="13" t="s">
        <v>2076</v>
      </c>
      <c r="E254" s="14">
        <v>160</v>
      </c>
      <c r="F254" s="15">
        <v>220</v>
      </c>
      <c r="G254" s="14">
        <v>724</v>
      </c>
      <c r="H254" s="28">
        <v>49</v>
      </c>
      <c r="I254" s="136">
        <v>57</v>
      </c>
      <c r="J254" s="27" t="s">
        <v>718</v>
      </c>
      <c r="K254" s="28">
        <v>1480</v>
      </c>
      <c r="L254" s="28" t="s">
        <v>566</v>
      </c>
      <c r="M254" s="38" t="s">
        <v>1830</v>
      </c>
      <c r="N254" s="100" t="s">
        <v>1831</v>
      </c>
      <c r="O254" s="153" t="s">
        <v>1260</v>
      </c>
      <c r="P254" s="153" t="s">
        <v>1260</v>
      </c>
    </row>
    <row r="255" spans="3:16" ht="15.75" thickBot="1">
      <c r="C255" s="2"/>
      <c r="D255" s="13" t="s">
        <v>2077</v>
      </c>
      <c r="E255" s="14">
        <v>110</v>
      </c>
      <c r="F255" s="15">
        <v>150</v>
      </c>
      <c r="G255" s="14">
        <v>678</v>
      </c>
      <c r="H255" s="28">
        <v>38</v>
      </c>
      <c r="I255" s="136">
        <v>44</v>
      </c>
      <c r="J255" s="27" t="s">
        <v>718</v>
      </c>
      <c r="K255" s="28">
        <v>1480</v>
      </c>
      <c r="L255" s="28" t="s">
        <v>566</v>
      </c>
      <c r="M255" s="38" t="s">
        <v>1830</v>
      </c>
      <c r="N255" s="100" t="s">
        <v>1831</v>
      </c>
      <c r="O255" s="153" t="s">
        <v>1260</v>
      </c>
      <c r="P255" s="153" t="s">
        <v>1260</v>
      </c>
    </row>
    <row r="256" spans="3:16" ht="15.75" thickBot="1">
      <c r="C256" s="2"/>
      <c r="D256" s="13" t="s">
        <v>2078</v>
      </c>
      <c r="E256" s="14">
        <v>75</v>
      </c>
      <c r="F256" s="15">
        <v>100</v>
      </c>
      <c r="G256" s="14">
        <v>631</v>
      </c>
      <c r="H256" s="28">
        <v>26</v>
      </c>
      <c r="I256" s="136">
        <v>29</v>
      </c>
      <c r="J256" s="27" t="s">
        <v>718</v>
      </c>
      <c r="K256" s="28">
        <v>1480</v>
      </c>
      <c r="L256" s="28" t="s">
        <v>566</v>
      </c>
      <c r="M256" s="38" t="s">
        <v>1830</v>
      </c>
      <c r="N256" s="100" t="s">
        <v>1831</v>
      </c>
      <c r="O256" s="153" t="s">
        <v>1260</v>
      </c>
      <c r="P256" s="153" t="s">
        <v>1260</v>
      </c>
    </row>
    <row r="257" spans="3:16" ht="15.75" thickBot="1">
      <c r="C257" s="2"/>
      <c r="D257" s="13" t="s">
        <v>2079</v>
      </c>
      <c r="E257" s="14">
        <v>132</v>
      </c>
      <c r="F257" s="15">
        <v>180</v>
      </c>
      <c r="G257" s="14">
        <v>660</v>
      </c>
      <c r="H257" s="28">
        <v>51</v>
      </c>
      <c r="I257" s="136">
        <v>58</v>
      </c>
      <c r="J257" s="27" t="s">
        <v>718</v>
      </c>
      <c r="K257" s="28">
        <v>1480</v>
      </c>
      <c r="L257" s="28" t="s">
        <v>566</v>
      </c>
      <c r="M257" s="38" t="s">
        <v>1830</v>
      </c>
      <c r="N257" s="100" t="s">
        <v>1831</v>
      </c>
      <c r="O257" s="153" t="s">
        <v>1260</v>
      </c>
      <c r="P257" s="153" t="s">
        <v>1260</v>
      </c>
    </row>
    <row r="258" spans="3:16" ht="15.75" thickBot="1">
      <c r="C258" s="2"/>
      <c r="D258" s="13" t="s">
        <v>2080</v>
      </c>
      <c r="E258" s="14">
        <v>110</v>
      </c>
      <c r="F258" s="15">
        <v>150</v>
      </c>
      <c r="G258" s="14">
        <v>620</v>
      </c>
      <c r="H258" s="28">
        <v>45</v>
      </c>
      <c r="I258" s="136">
        <v>51</v>
      </c>
      <c r="J258" s="27" t="s">
        <v>718</v>
      </c>
      <c r="K258" s="28">
        <v>1480</v>
      </c>
      <c r="L258" s="28" t="s">
        <v>566</v>
      </c>
      <c r="M258" s="38" t="s">
        <v>1830</v>
      </c>
      <c r="N258" s="100" t="s">
        <v>1831</v>
      </c>
      <c r="O258" s="153" t="s">
        <v>1260</v>
      </c>
      <c r="P258" s="153" t="s">
        <v>1260</v>
      </c>
    </row>
    <row r="259" spans="3:16" ht="15.75" thickBot="1">
      <c r="C259" s="2"/>
      <c r="D259" s="13" t="s">
        <v>2081</v>
      </c>
      <c r="E259" s="14">
        <v>90</v>
      </c>
      <c r="F259" s="15">
        <v>125</v>
      </c>
      <c r="G259" s="14">
        <v>581</v>
      </c>
      <c r="H259" s="28">
        <v>35</v>
      </c>
      <c r="I259" s="136">
        <v>40</v>
      </c>
      <c r="J259" s="27" t="s">
        <v>718</v>
      </c>
      <c r="K259" s="28">
        <v>1480</v>
      </c>
      <c r="L259" s="28" t="s">
        <v>566</v>
      </c>
      <c r="M259" s="38" t="s">
        <v>1830</v>
      </c>
      <c r="N259" s="100" t="s">
        <v>1831</v>
      </c>
      <c r="O259" s="153" t="s">
        <v>1260</v>
      </c>
      <c r="P259" s="153" t="s">
        <v>1260</v>
      </c>
    </row>
    <row r="260" spans="3:16" ht="15.75" thickBot="1">
      <c r="C260" s="2"/>
      <c r="D260" s="13" t="s">
        <v>2082</v>
      </c>
      <c r="E260" s="14">
        <v>55</v>
      </c>
      <c r="F260" s="15">
        <v>75</v>
      </c>
      <c r="G260" s="14">
        <v>541</v>
      </c>
      <c r="H260" s="28">
        <v>23</v>
      </c>
      <c r="I260" s="136">
        <v>27</v>
      </c>
      <c r="J260" s="27" t="s">
        <v>718</v>
      </c>
      <c r="K260" s="28">
        <v>1480</v>
      </c>
      <c r="L260" s="28" t="s">
        <v>566</v>
      </c>
      <c r="M260" s="38" t="s">
        <v>1830</v>
      </c>
      <c r="N260" s="100" t="s">
        <v>1831</v>
      </c>
      <c r="O260" s="153" t="s">
        <v>1260</v>
      </c>
      <c r="P260" s="153" t="s">
        <v>1260</v>
      </c>
    </row>
    <row r="261" spans="3:16" ht="15.75" thickBot="1">
      <c r="C261" s="2"/>
      <c r="D261" s="13" t="s">
        <v>2083</v>
      </c>
      <c r="E261" s="14">
        <v>315</v>
      </c>
      <c r="F261" s="15">
        <v>430</v>
      </c>
      <c r="G261" s="14">
        <v>830</v>
      </c>
      <c r="H261" s="28">
        <v>95</v>
      </c>
      <c r="I261" s="136">
        <v>104</v>
      </c>
      <c r="J261" s="27" t="s">
        <v>718</v>
      </c>
      <c r="K261" s="28">
        <v>1480</v>
      </c>
      <c r="L261" s="28" t="s">
        <v>566</v>
      </c>
      <c r="M261" s="38" t="s">
        <v>1856</v>
      </c>
      <c r="N261" s="100" t="s">
        <v>1831</v>
      </c>
      <c r="O261" s="153" t="s">
        <v>1260</v>
      </c>
      <c r="P261" s="153" t="s">
        <v>1260</v>
      </c>
    </row>
    <row r="262" spans="3:16" ht="15.75" thickBot="1">
      <c r="C262" s="2"/>
      <c r="D262" s="13" t="s">
        <v>2084</v>
      </c>
      <c r="E262" s="14">
        <v>280</v>
      </c>
      <c r="F262" s="15">
        <v>380</v>
      </c>
      <c r="G262" s="14">
        <v>780</v>
      </c>
      <c r="H262" s="28">
        <v>84</v>
      </c>
      <c r="I262" s="136">
        <v>92</v>
      </c>
      <c r="J262" s="27" t="s">
        <v>718</v>
      </c>
      <c r="K262" s="28">
        <v>1480</v>
      </c>
      <c r="L262" s="28" t="s">
        <v>566</v>
      </c>
      <c r="M262" s="38" t="s">
        <v>1856</v>
      </c>
      <c r="N262" s="100" t="s">
        <v>1831</v>
      </c>
      <c r="O262" s="153" t="s">
        <v>1260</v>
      </c>
      <c r="P262" s="153" t="s">
        <v>1260</v>
      </c>
    </row>
    <row r="263" spans="3:16" ht="15.75" thickBot="1">
      <c r="C263" s="2"/>
      <c r="D263" s="13" t="s">
        <v>2085</v>
      </c>
      <c r="E263" s="14">
        <v>200</v>
      </c>
      <c r="F263" s="15">
        <v>270</v>
      </c>
      <c r="G263" s="14">
        <v>722</v>
      </c>
      <c r="H263" s="28">
        <v>64</v>
      </c>
      <c r="I263" s="136">
        <v>70</v>
      </c>
      <c r="J263" s="27" t="s">
        <v>718</v>
      </c>
      <c r="K263" s="28">
        <v>1480</v>
      </c>
      <c r="L263" s="28" t="s">
        <v>566</v>
      </c>
      <c r="M263" s="38" t="s">
        <v>1856</v>
      </c>
      <c r="N263" s="100" t="s">
        <v>1831</v>
      </c>
      <c r="O263" s="153" t="s">
        <v>1260</v>
      </c>
      <c r="P263" s="153" t="s">
        <v>1260</v>
      </c>
    </row>
    <row r="264" spans="3:16" ht="15.75" thickBot="1">
      <c r="C264" s="2"/>
      <c r="D264" s="13" t="s">
        <v>2086</v>
      </c>
      <c r="E264" s="14">
        <v>110</v>
      </c>
      <c r="F264" s="15">
        <v>150</v>
      </c>
      <c r="G264" s="14">
        <v>664</v>
      </c>
      <c r="H264" s="28">
        <v>41</v>
      </c>
      <c r="I264" s="136">
        <v>45</v>
      </c>
      <c r="J264" s="27" t="s">
        <v>718</v>
      </c>
      <c r="K264" s="28">
        <v>1480</v>
      </c>
      <c r="L264" s="28" t="s">
        <v>566</v>
      </c>
      <c r="M264" s="38" t="s">
        <v>1856</v>
      </c>
      <c r="N264" s="100" t="s">
        <v>1831</v>
      </c>
      <c r="O264" s="153" t="s">
        <v>1260</v>
      </c>
      <c r="P264" s="153" t="s">
        <v>1260</v>
      </c>
    </row>
    <row r="265" spans="3:16" ht="15.75" thickBot="1">
      <c r="C265" s="2"/>
      <c r="D265" s="13" t="s">
        <v>2087</v>
      </c>
      <c r="E265" s="14">
        <v>250</v>
      </c>
      <c r="F265" s="15">
        <v>340</v>
      </c>
      <c r="G265" s="14">
        <v>710</v>
      </c>
      <c r="H265" s="28">
        <v>86</v>
      </c>
      <c r="I265" s="136">
        <v>94</v>
      </c>
      <c r="J265" s="27" t="s">
        <v>718</v>
      </c>
      <c r="K265" s="28">
        <v>1480</v>
      </c>
      <c r="L265" s="28" t="s">
        <v>566</v>
      </c>
      <c r="M265" s="38" t="s">
        <v>1856</v>
      </c>
      <c r="N265" s="100" t="s">
        <v>1831</v>
      </c>
      <c r="O265" s="153" t="s">
        <v>1260</v>
      </c>
      <c r="P265" s="153" t="s">
        <v>1260</v>
      </c>
    </row>
    <row r="266" spans="3:16" ht="15.75" thickBot="1">
      <c r="C266" s="2"/>
      <c r="D266" s="13" t="s">
        <v>2088</v>
      </c>
      <c r="E266" s="14">
        <v>220</v>
      </c>
      <c r="F266" s="15">
        <v>300</v>
      </c>
      <c r="G266" s="14">
        <v>667</v>
      </c>
      <c r="H266" s="28">
        <v>76</v>
      </c>
      <c r="I266" s="136">
        <v>83</v>
      </c>
      <c r="J266" s="27" t="s">
        <v>718</v>
      </c>
      <c r="K266" s="28">
        <v>1480</v>
      </c>
      <c r="L266" s="28" t="s">
        <v>566</v>
      </c>
      <c r="M266" s="38" t="s">
        <v>1856</v>
      </c>
      <c r="N266" s="100" t="s">
        <v>1831</v>
      </c>
      <c r="O266" s="153" t="s">
        <v>1260</v>
      </c>
      <c r="P266" s="153" t="s">
        <v>1260</v>
      </c>
    </row>
    <row r="267" spans="3:16" ht="15.75" thickBot="1">
      <c r="C267" s="2"/>
      <c r="D267" s="13" t="s">
        <v>2089</v>
      </c>
      <c r="E267" s="14">
        <v>160</v>
      </c>
      <c r="F267" s="15">
        <v>220</v>
      </c>
      <c r="G267" s="14">
        <v>618</v>
      </c>
      <c r="H267" s="28">
        <v>57</v>
      </c>
      <c r="I267" s="136">
        <v>63</v>
      </c>
      <c r="J267" s="27" t="s">
        <v>718</v>
      </c>
      <c r="K267" s="28">
        <v>1480</v>
      </c>
      <c r="L267" s="28" t="s">
        <v>566</v>
      </c>
      <c r="M267" s="38" t="s">
        <v>1856</v>
      </c>
      <c r="N267" s="100" t="s">
        <v>1831</v>
      </c>
      <c r="O267" s="153" t="s">
        <v>1260</v>
      </c>
      <c r="P267" s="153" t="s">
        <v>1260</v>
      </c>
    </row>
    <row r="268" spans="3:16" ht="15.75" thickBot="1">
      <c r="C268" s="2"/>
      <c r="D268" s="13" t="s">
        <v>2090</v>
      </c>
      <c r="E268" s="14">
        <v>90</v>
      </c>
      <c r="F268" s="15">
        <v>125</v>
      </c>
      <c r="G268" s="14">
        <v>568</v>
      </c>
      <c r="H268" s="28">
        <v>37</v>
      </c>
      <c r="I268" s="136">
        <v>40</v>
      </c>
      <c r="J268" s="27" t="s">
        <v>718</v>
      </c>
      <c r="K268" s="28">
        <v>1480</v>
      </c>
      <c r="L268" s="28" t="s">
        <v>566</v>
      </c>
      <c r="M268" s="38" t="s">
        <v>1856</v>
      </c>
      <c r="N268" s="100" t="s">
        <v>1831</v>
      </c>
      <c r="O268" s="153" t="s">
        <v>1260</v>
      </c>
      <c r="P268" s="153" t="s">
        <v>1260</v>
      </c>
    </row>
    <row r="269" spans="3:16" ht="15.75" thickBot="1">
      <c r="C269" s="2"/>
      <c r="D269" s="13" t="s">
        <v>2091</v>
      </c>
      <c r="E269" s="14">
        <v>500</v>
      </c>
      <c r="F269" s="15">
        <v>670</v>
      </c>
      <c r="G269" s="14">
        <v>810</v>
      </c>
      <c r="H269" s="28">
        <v>156</v>
      </c>
      <c r="I269" s="136">
        <v>167</v>
      </c>
      <c r="J269" s="27" t="s">
        <v>718</v>
      </c>
      <c r="K269" s="28">
        <v>1480</v>
      </c>
      <c r="L269" s="28" t="s">
        <v>566</v>
      </c>
      <c r="M269" s="38" t="s">
        <v>1856</v>
      </c>
      <c r="N269" s="100" t="s">
        <v>2092</v>
      </c>
      <c r="O269" s="153" t="s">
        <v>1260</v>
      </c>
      <c r="P269" s="153" t="s">
        <v>1260</v>
      </c>
    </row>
    <row r="270" spans="3:16" ht="15.75" thickBot="1">
      <c r="C270" s="2"/>
      <c r="D270" s="13" t="s">
        <v>2093</v>
      </c>
      <c r="E270" s="14">
        <v>450</v>
      </c>
      <c r="F270" s="15">
        <v>600</v>
      </c>
      <c r="G270" s="14">
        <v>761</v>
      </c>
      <c r="H270" s="28">
        <v>138</v>
      </c>
      <c r="I270" s="136">
        <v>148</v>
      </c>
      <c r="J270" s="27" t="s">
        <v>718</v>
      </c>
      <c r="K270" s="28">
        <v>1480</v>
      </c>
      <c r="L270" s="28" t="s">
        <v>566</v>
      </c>
      <c r="M270" s="38" t="s">
        <v>1856</v>
      </c>
      <c r="N270" s="100" t="s">
        <v>2092</v>
      </c>
      <c r="O270" s="153" t="s">
        <v>1260</v>
      </c>
      <c r="P270" s="153" t="s">
        <v>1260</v>
      </c>
    </row>
    <row r="271" spans="3:16" ht="15.75" thickBot="1">
      <c r="C271" s="2"/>
      <c r="D271" s="13" t="s">
        <v>2094</v>
      </c>
      <c r="E271" s="14">
        <v>315</v>
      </c>
      <c r="F271" s="15">
        <v>430</v>
      </c>
      <c r="G271" s="14">
        <v>705</v>
      </c>
      <c r="H271" s="28">
        <v>104</v>
      </c>
      <c r="I271" s="136">
        <v>112</v>
      </c>
      <c r="J271" s="27" t="s">
        <v>718</v>
      </c>
      <c r="K271" s="28">
        <v>1480</v>
      </c>
      <c r="L271" s="28" t="s">
        <v>566</v>
      </c>
      <c r="M271" s="38" t="s">
        <v>1856</v>
      </c>
      <c r="N271" s="100" t="s">
        <v>1831</v>
      </c>
      <c r="O271" s="153" t="s">
        <v>1260</v>
      </c>
      <c r="P271" s="153" t="s">
        <v>1260</v>
      </c>
    </row>
    <row r="272" spans="3:16" ht="15.75" thickBot="1">
      <c r="C272" s="2"/>
      <c r="D272" s="13" t="s">
        <v>2095</v>
      </c>
      <c r="E272" s="14">
        <v>185</v>
      </c>
      <c r="F272" s="15">
        <v>250</v>
      </c>
      <c r="G272" s="14">
        <v>648</v>
      </c>
      <c r="H272" s="28">
        <v>67</v>
      </c>
      <c r="I272" s="136">
        <v>71</v>
      </c>
      <c r="J272" s="27" t="s">
        <v>718</v>
      </c>
      <c r="K272" s="28">
        <v>1480</v>
      </c>
      <c r="L272" s="28" t="s">
        <v>566</v>
      </c>
      <c r="M272" s="38" t="s">
        <v>1856</v>
      </c>
      <c r="N272" s="100" t="s">
        <v>1831</v>
      </c>
      <c r="O272" s="153" t="s">
        <v>1260</v>
      </c>
      <c r="P272" s="153" t="s">
        <v>1260</v>
      </c>
    </row>
    <row r="273" spans="3:16" ht="15.75" thickBot="1">
      <c r="C273" s="2"/>
      <c r="D273" s="13" t="s">
        <v>2096</v>
      </c>
      <c r="E273" s="14">
        <v>400</v>
      </c>
      <c r="F273" s="15">
        <v>540</v>
      </c>
      <c r="G273" s="14">
        <v>695</v>
      </c>
      <c r="H273" s="28">
        <v>141</v>
      </c>
      <c r="I273" s="136">
        <v>151</v>
      </c>
      <c r="J273" s="27" t="s">
        <v>718</v>
      </c>
      <c r="K273" s="28">
        <v>1480</v>
      </c>
      <c r="L273" s="28" t="s">
        <v>566</v>
      </c>
      <c r="M273" s="38" t="s">
        <v>1856</v>
      </c>
      <c r="N273" s="100" t="s">
        <v>2092</v>
      </c>
      <c r="O273" s="153" t="s">
        <v>1260</v>
      </c>
      <c r="P273" s="153" t="s">
        <v>1260</v>
      </c>
    </row>
    <row r="274" spans="3:16" ht="15.75" thickBot="1">
      <c r="C274" s="2"/>
      <c r="D274" s="13" t="s">
        <v>2097</v>
      </c>
      <c r="E274" s="14">
        <v>355</v>
      </c>
      <c r="F274" s="15">
        <v>480</v>
      </c>
      <c r="G274" s="14">
        <v>653</v>
      </c>
      <c r="H274" s="28">
        <v>124</v>
      </c>
      <c r="I274" s="136">
        <v>133</v>
      </c>
      <c r="J274" s="27" t="s">
        <v>718</v>
      </c>
      <c r="K274" s="28">
        <v>1480</v>
      </c>
      <c r="L274" s="28" t="s">
        <v>566</v>
      </c>
      <c r="M274" s="38" t="s">
        <v>1856</v>
      </c>
      <c r="N274" s="100" t="s">
        <v>1831</v>
      </c>
      <c r="O274" s="153" t="s">
        <v>1260</v>
      </c>
      <c r="P274" s="153" t="s">
        <v>1260</v>
      </c>
    </row>
    <row r="275" spans="3:16" ht="15.75" thickBot="1">
      <c r="C275" s="2"/>
      <c r="D275" s="13" t="s">
        <v>2098</v>
      </c>
      <c r="E275" s="14">
        <v>250</v>
      </c>
      <c r="F275" s="15">
        <v>340</v>
      </c>
      <c r="G275" s="14">
        <v>605</v>
      </c>
      <c r="H275" s="28">
        <v>94</v>
      </c>
      <c r="I275" s="136">
        <v>101</v>
      </c>
      <c r="J275" s="27" t="s">
        <v>718</v>
      </c>
      <c r="K275" s="28">
        <v>1480</v>
      </c>
      <c r="L275" s="28" t="s">
        <v>566</v>
      </c>
      <c r="M275" s="38" t="s">
        <v>1856</v>
      </c>
      <c r="N275" s="100" t="s">
        <v>1831</v>
      </c>
      <c r="O275" s="153" t="s">
        <v>1260</v>
      </c>
      <c r="P275" s="153" t="s">
        <v>1260</v>
      </c>
    </row>
    <row r="276" spans="3:16" ht="15.75" thickBot="1">
      <c r="C276" s="2"/>
      <c r="D276" s="13" t="s">
        <v>2099</v>
      </c>
      <c r="E276" s="14">
        <v>160</v>
      </c>
      <c r="F276" s="15">
        <v>220</v>
      </c>
      <c r="G276" s="14">
        <v>536</v>
      </c>
      <c r="H276" s="28">
        <v>60</v>
      </c>
      <c r="I276" s="136">
        <v>65</v>
      </c>
      <c r="J276" s="27" t="s">
        <v>718</v>
      </c>
      <c r="K276" s="28">
        <v>1480</v>
      </c>
      <c r="L276" s="28" t="s">
        <v>566</v>
      </c>
      <c r="M276" s="38" t="s">
        <v>1856</v>
      </c>
      <c r="N276" s="100" t="s">
        <v>1831</v>
      </c>
      <c r="O276" s="153" t="s">
        <v>1260</v>
      </c>
      <c r="P276" s="153" t="s">
        <v>1260</v>
      </c>
    </row>
    <row r="277" spans="3:16" ht="15.75" thickBot="1">
      <c r="C277" s="2"/>
      <c r="D277" s="13" t="s">
        <v>2100</v>
      </c>
      <c r="E277" s="14">
        <v>15</v>
      </c>
      <c r="F277" s="15">
        <v>20</v>
      </c>
      <c r="G277" s="14">
        <v>420</v>
      </c>
      <c r="H277" s="28">
        <v>8.3000000000000007</v>
      </c>
      <c r="I277" s="136">
        <v>10.1</v>
      </c>
      <c r="J277" s="27" t="s">
        <v>815</v>
      </c>
      <c r="K277" s="28">
        <v>1480</v>
      </c>
      <c r="L277" s="28" t="s">
        <v>566</v>
      </c>
      <c r="M277" s="38" t="s">
        <v>1830</v>
      </c>
      <c r="N277" s="100" t="s">
        <v>1831</v>
      </c>
      <c r="O277" s="153" t="s">
        <v>1260</v>
      </c>
      <c r="P277" s="153" t="s">
        <v>1260</v>
      </c>
    </row>
    <row r="278" spans="3:16" ht="15.75" thickBot="1">
      <c r="C278" s="2"/>
      <c r="D278" s="13" t="s">
        <v>2101</v>
      </c>
      <c r="E278" s="14">
        <v>15</v>
      </c>
      <c r="F278" s="15">
        <v>20</v>
      </c>
      <c r="G278" s="14">
        <v>395</v>
      </c>
      <c r="H278" s="28">
        <v>7</v>
      </c>
      <c r="I278" s="136">
        <v>9</v>
      </c>
      <c r="J278" s="27" t="s">
        <v>815</v>
      </c>
      <c r="K278" s="28">
        <v>1480</v>
      </c>
      <c r="L278" s="28" t="s">
        <v>566</v>
      </c>
      <c r="M278" s="38" t="s">
        <v>1830</v>
      </c>
      <c r="N278" s="100" t="s">
        <v>1831</v>
      </c>
      <c r="O278" s="153" t="s">
        <v>1260</v>
      </c>
      <c r="P278" s="153" t="s">
        <v>1260</v>
      </c>
    </row>
    <row r="279" spans="3:16" ht="15.75" thickBot="1">
      <c r="C279" s="2"/>
      <c r="D279" s="13" t="s">
        <v>2102</v>
      </c>
      <c r="E279" s="14">
        <v>11</v>
      </c>
      <c r="F279" s="15">
        <v>15</v>
      </c>
      <c r="G279" s="14">
        <v>375</v>
      </c>
      <c r="H279" s="28">
        <v>6</v>
      </c>
      <c r="I279" s="136">
        <v>7</v>
      </c>
      <c r="J279" s="27" t="s">
        <v>815</v>
      </c>
      <c r="K279" s="28">
        <v>1480</v>
      </c>
      <c r="L279" s="28" t="s">
        <v>566</v>
      </c>
      <c r="M279" s="38" t="s">
        <v>1830</v>
      </c>
      <c r="N279" s="100" t="s">
        <v>1831</v>
      </c>
      <c r="O279" s="153" t="s">
        <v>1260</v>
      </c>
      <c r="P279" s="153" t="s">
        <v>1260</v>
      </c>
    </row>
    <row r="280" spans="3:16" ht="15.75" thickBot="1">
      <c r="C280" s="2"/>
      <c r="D280" s="13" t="s">
        <v>2103</v>
      </c>
      <c r="E280" s="14">
        <v>11</v>
      </c>
      <c r="F280" s="15">
        <v>15</v>
      </c>
      <c r="G280" s="14">
        <v>360</v>
      </c>
      <c r="H280" s="28">
        <v>7.5</v>
      </c>
      <c r="I280" s="136">
        <v>9.1</v>
      </c>
      <c r="J280" s="27" t="s">
        <v>815</v>
      </c>
      <c r="K280" s="28">
        <v>1480</v>
      </c>
      <c r="L280" s="28" t="s">
        <v>566</v>
      </c>
      <c r="M280" s="38" t="s">
        <v>1830</v>
      </c>
      <c r="N280" s="100" t="s">
        <v>1831</v>
      </c>
      <c r="O280" s="153" t="s">
        <v>1260</v>
      </c>
      <c r="P280" s="153" t="s">
        <v>1260</v>
      </c>
    </row>
    <row r="281" spans="3:16" ht="15.75" thickBot="1">
      <c r="C281" s="2"/>
      <c r="D281" s="13" t="s">
        <v>2104</v>
      </c>
      <c r="E281" s="14">
        <v>11</v>
      </c>
      <c r="F281" s="15">
        <v>15</v>
      </c>
      <c r="G281" s="14">
        <v>338</v>
      </c>
      <c r="H281" s="28">
        <v>7</v>
      </c>
      <c r="I281" s="136">
        <v>8</v>
      </c>
      <c r="J281" s="27" t="s">
        <v>815</v>
      </c>
      <c r="K281" s="28">
        <v>1480</v>
      </c>
      <c r="L281" s="28" t="s">
        <v>566</v>
      </c>
      <c r="M281" s="38" t="s">
        <v>1830</v>
      </c>
      <c r="N281" s="100" t="s">
        <v>1831</v>
      </c>
      <c r="O281" s="153" t="s">
        <v>1260</v>
      </c>
      <c r="P281" s="153" t="s">
        <v>1260</v>
      </c>
    </row>
    <row r="282" spans="3:16" ht="15.75" thickBot="1">
      <c r="C282" s="2"/>
      <c r="D282" s="13" t="s">
        <v>2105</v>
      </c>
      <c r="E282" s="14">
        <v>7.5</v>
      </c>
      <c r="F282" s="15">
        <v>10</v>
      </c>
      <c r="G282" s="14">
        <v>321</v>
      </c>
      <c r="H282" s="28">
        <v>5</v>
      </c>
      <c r="I282" s="136">
        <v>6</v>
      </c>
      <c r="J282" s="27" t="s">
        <v>815</v>
      </c>
      <c r="K282" s="28">
        <v>1480</v>
      </c>
      <c r="L282" s="28" t="s">
        <v>566</v>
      </c>
      <c r="M282" s="38" t="s">
        <v>1830</v>
      </c>
      <c r="N282" s="100" t="s">
        <v>1831</v>
      </c>
      <c r="O282" s="153" t="s">
        <v>1260</v>
      </c>
      <c r="P282" s="153" t="s">
        <v>1260</v>
      </c>
    </row>
    <row r="283" spans="3:16" ht="15.75" thickBot="1">
      <c r="C283" s="2"/>
      <c r="D283" s="13" t="s">
        <v>2106</v>
      </c>
      <c r="E283" s="14">
        <v>160</v>
      </c>
      <c r="F283" s="15">
        <v>220</v>
      </c>
      <c r="G283" s="14">
        <v>1070</v>
      </c>
      <c r="H283" s="28">
        <v>40</v>
      </c>
      <c r="I283" s="136">
        <v>48</v>
      </c>
      <c r="J283" s="27" t="s">
        <v>719</v>
      </c>
      <c r="K283" s="28">
        <v>1480</v>
      </c>
      <c r="L283" s="28" t="s">
        <v>566</v>
      </c>
      <c r="M283" s="38" t="s">
        <v>1830</v>
      </c>
      <c r="N283" s="100" t="s">
        <v>1831</v>
      </c>
      <c r="O283" s="153" t="s">
        <v>1260</v>
      </c>
      <c r="P283" s="153" t="s">
        <v>1260</v>
      </c>
    </row>
    <row r="284" spans="3:16" ht="15.75" thickBot="1">
      <c r="C284" s="2"/>
      <c r="D284" s="13" t="s">
        <v>2107</v>
      </c>
      <c r="E284" s="14">
        <v>132</v>
      </c>
      <c r="F284" s="15">
        <v>180</v>
      </c>
      <c r="G284" s="14">
        <v>1006</v>
      </c>
      <c r="H284" s="28">
        <v>35</v>
      </c>
      <c r="I284" s="136">
        <v>42</v>
      </c>
      <c r="J284" s="27" t="s">
        <v>719</v>
      </c>
      <c r="K284" s="28">
        <v>1480</v>
      </c>
      <c r="L284" s="28" t="s">
        <v>566</v>
      </c>
      <c r="M284" s="38" t="s">
        <v>1830</v>
      </c>
      <c r="N284" s="100" t="s">
        <v>1831</v>
      </c>
      <c r="O284" s="153" t="s">
        <v>1260</v>
      </c>
      <c r="P284" s="153" t="s">
        <v>1260</v>
      </c>
    </row>
    <row r="285" spans="3:16" ht="15.75" thickBot="1">
      <c r="C285" s="2"/>
      <c r="D285" s="13" t="s">
        <v>2108</v>
      </c>
      <c r="E285" s="14">
        <v>110</v>
      </c>
      <c r="F285" s="15">
        <v>150</v>
      </c>
      <c r="G285" s="14">
        <v>942</v>
      </c>
      <c r="H285" s="28">
        <v>27</v>
      </c>
      <c r="I285" s="136">
        <v>33</v>
      </c>
      <c r="J285" s="27" t="s">
        <v>719</v>
      </c>
      <c r="K285" s="28">
        <v>1480</v>
      </c>
      <c r="L285" s="28" t="s">
        <v>566</v>
      </c>
      <c r="M285" s="38" t="s">
        <v>1830</v>
      </c>
      <c r="N285" s="100" t="s">
        <v>1831</v>
      </c>
      <c r="O285" s="153" t="s">
        <v>1260</v>
      </c>
      <c r="P285" s="153" t="s">
        <v>1260</v>
      </c>
    </row>
    <row r="286" spans="3:16" ht="15.75" thickBot="1">
      <c r="C286" s="2"/>
      <c r="D286" s="13" t="s">
        <v>2109</v>
      </c>
      <c r="E286" s="14">
        <v>75</v>
      </c>
      <c r="F286" s="15">
        <v>100</v>
      </c>
      <c r="G286" s="14">
        <v>876</v>
      </c>
      <c r="H286" s="28">
        <v>18</v>
      </c>
      <c r="I286" s="136">
        <v>22</v>
      </c>
      <c r="J286" s="27" t="s">
        <v>719</v>
      </c>
      <c r="K286" s="28">
        <v>1480</v>
      </c>
      <c r="L286" s="28" t="s">
        <v>566</v>
      </c>
      <c r="M286" s="38" t="s">
        <v>1830</v>
      </c>
      <c r="N286" s="100" t="s">
        <v>1831</v>
      </c>
      <c r="O286" s="153" t="s">
        <v>1260</v>
      </c>
      <c r="P286" s="153" t="s">
        <v>1260</v>
      </c>
    </row>
    <row r="287" spans="3:16" ht="15.75" thickBot="1">
      <c r="C287" s="2"/>
      <c r="D287" s="13" t="s">
        <v>2110</v>
      </c>
      <c r="E287" s="14">
        <v>132</v>
      </c>
      <c r="F287" s="15">
        <v>180</v>
      </c>
      <c r="G287" s="14">
        <v>920</v>
      </c>
      <c r="H287" s="28">
        <v>36</v>
      </c>
      <c r="I287" s="136">
        <v>43</v>
      </c>
      <c r="J287" s="27" t="s">
        <v>719</v>
      </c>
      <c r="K287" s="28">
        <v>1480</v>
      </c>
      <c r="L287" s="28" t="s">
        <v>566</v>
      </c>
      <c r="M287" s="38" t="s">
        <v>1830</v>
      </c>
      <c r="N287" s="100" t="s">
        <v>1831</v>
      </c>
      <c r="O287" s="153" t="s">
        <v>1260</v>
      </c>
      <c r="P287" s="153" t="s">
        <v>1260</v>
      </c>
    </row>
    <row r="288" spans="3:16" ht="15.75" thickBot="1">
      <c r="C288" s="2"/>
      <c r="D288" s="13" t="s">
        <v>2111</v>
      </c>
      <c r="E288" s="14">
        <v>110</v>
      </c>
      <c r="F288" s="15">
        <v>150</v>
      </c>
      <c r="G288" s="14">
        <v>865</v>
      </c>
      <c r="H288" s="28">
        <v>32</v>
      </c>
      <c r="I288" s="136">
        <v>38</v>
      </c>
      <c r="J288" s="27" t="s">
        <v>719</v>
      </c>
      <c r="K288" s="28">
        <v>1480</v>
      </c>
      <c r="L288" s="28" t="s">
        <v>566</v>
      </c>
      <c r="M288" s="38" t="s">
        <v>1830</v>
      </c>
      <c r="N288" s="100" t="s">
        <v>1831</v>
      </c>
      <c r="O288" s="153" t="s">
        <v>1260</v>
      </c>
      <c r="P288" s="153" t="s">
        <v>1260</v>
      </c>
    </row>
    <row r="289" spans="3:16" ht="15.75" thickBot="1">
      <c r="C289" s="2"/>
      <c r="D289" s="13" t="s">
        <v>2112</v>
      </c>
      <c r="E289" s="14">
        <v>75</v>
      </c>
      <c r="F289" s="15">
        <v>100</v>
      </c>
      <c r="G289" s="14">
        <v>810</v>
      </c>
      <c r="H289" s="28">
        <v>25</v>
      </c>
      <c r="I289" s="136">
        <v>30</v>
      </c>
      <c r="J289" s="27" t="s">
        <v>719</v>
      </c>
      <c r="K289" s="28">
        <v>1480</v>
      </c>
      <c r="L289" s="28" t="s">
        <v>566</v>
      </c>
      <c r="M289" s="38" t="s">
        <v>1830</v>
      </c>
      <c r="N289" s="100" t="s">
        <v>1831</v>
      </c>
      <c r="O289" s="153" t="s">
        <v>1260</v>
      </c>
      <c r="P289" s="153" t="s">
        <v>1260</v>
      </c>
    </row>
    <row r="290" spans="3:16" ht="15.75" thickBot="1">
      <c r="C290" s="2"/>
      <c r="D290" s="13" t="s">
        <v>2113</v>
      </c>
      <c r="E290" s="14">
        <v>55</v>
      </c>
      <c r="F290" s="15">
        <v>75</v>
      </c>
      <c r="G290" s="14">
        <v>753</v>
      </c>
      <c r="H290" s="28">
        <v>17</v>
      </c>
      <c r="I290" s="136">
        <v>20</v>
      </c>
      <c r="J290" s="27" t="s">
        <v>719</v>
      </c>
      <c r="K290" s="28">
        <v>1480</v>
      </c>
      <c r="L290" s="28" t="s">
        <v>566</v>
      </c>
      <c r="M290" s="38" t="s">
        <v>1830</v>
      </c>
      <c r="N290" s="100" t="s">
        <v>1831</v>
      </c>
      <c r="O290" s="153" t="s">
        <v>1260</v>
      </c>
      <c r="P290" s="153" t="s">
        <v>1260</v>
      </c>
    </row>
    <row r="291" spans="3:16" ht="15.75" thickBot="1">
      <c r="C291" s="2"/>
      <c r="D291" s="13" t="s">
        <v>2114</v>
      </c>
      <c r="E291" s="14">
        <v>315</v>
      </c>
      <c r="F291" s="15">
        <v>430</v>
      </c>
      <c r="G291" s="14">
        <v>1200</v>
      </c>
      <c r="H291" s="28">
        <v>69</v>
      </c>
      <c r="I291" s="136">
        <v>78</v>
      </c>
      <c r="J291" s="27" t="s">
        <v>719</v>
      </c>
      <c r="K291" s="28">
        <v>1480</v>
      </c>
      <c r="L291" s="28" t="s">
        <v>566</v>
      </c>
      <c r="M291" s="38" t="s">
        <v>1830</v>
      </c>
      <c r="N291" s="100" t="s">
        <v>1831</v>
      </c>
      <c r="O291" s="153" t="s">
        <v>1260</v>
      </c>
      <c r="P291" s="153" t="s">
        <v>1260</v>
      </c>
    </row>
    <row r="292" spans="3:16" ht="15.75" thickBot="1">
      <c r="C292" s="2"/>
      <c r="D292" s="13" t="s">
        <v>2115</v>
      </c>
      <c r="E292" s="14">
        <v>250</v>
      </c>
      <c r="F292" s="15">
        <v>340</v>
      </c>
      <c r="G292" s="14">
        <v>1128</v>
      </c>
      <c r="H292" s="28">
        <v>61</v>
      </c>
      <c r="I292" s="136">
        <v>69</v>
      </c>
      <c r="J292" s="27" t="s">
        <v>719</v>
      </c>
      <c r="K292" s="28">
        <v>1480</v>
      </c>
      <c r="L292" s="28" t="s">
        <v>566</v>
      </c>
      <c r="M292" s="38" t="s">
        <v>1830</v>
      </c>
      <c r="N292" s="100" t="s">
        <v>1831</v>
      </c>
      <c r="O292" s="153" t="s">
        <v>1260</v>
      </c>
      <c r="P292" s="153" t="s">
        <v>1260</v>
      </c>
    </row>
    <row r="293" spans="3:16" ht="15.75" thickBot="1">
      <c r="C293" s="2"/>
      <c r="D293" s="13" t="s">
        <v>2116</v>
      </c>
      <c r="E293" s="14">
        <v>200</v>
      </c>
      <c r="F293" s="15">
        <v>270</v>
      </c>
      <c r="G293" s="14">
        <v>1056</v>
      </c>
      <c r="H293" s="28">
        <v>47</v>
      </c>
      <c r="I293" s="136">
        <v>53</v>
      </c>
      <c r="J293" s="27" t="s">
        <v>719</v>
      </c>
      <c r="K293" s="28">
        <v>1480</v>
      </c>
      <c r="L293" s="28" t="s">
        <v>566</v>
      </c>
      <c r="M293" s="38" t="s">
        <v>1830</v>
      </c>
      <c r="N293" s="100" t="s">
        <v>1831</v>
      </c>
      <c r="O293" s="153" t="s">
        <v>1260</v>
      </c>
      <c r="P293" s="153" t="s">
        <v>1260</v>
      </c>
    </row>
    <row r="294" spans="3:16" ht="15.75" thickBot="1">
      <c r="C294" s="2"/>
      <c r="D294" s="13" t="s">
        <v>2117</v>
      </c>
      <c r="E294" s="14">
        <v>132</v>
      </c>
      <c r="F294" s="15">
        <v>180</v>
      </c>
      <c r="G294" s="14">
        <v>984</v>
      </c>
      <c r="H294" s="28">
        <v>32</v>
      </c>
      <c r="I294" s="136">
        <v>36</v>
      </c>
      <c r="J294" s="27" t="s">
        <v>719</v>
      </c>
      <c r="K294" s="28">
        <v>1480</v>
      </c>
      <c r="L294" s="28" t="s">
        <v>566</v>
      </c>
      <c r="M294" s="38" t="s">
        <v>1830</v>
      </c>
      <c r="N294" s="100" t="s">
        <v>1831</v>
      </c>
      <c r="O294" s="153" t="s">
        <v>1260</v>
      </c>
      <c r="P294" s="153" t="s">
        <v>1260</v>
      </c>
    </row>
    <row r="295" spans="3:16" ht="15.75" thickBot="1">
      <c r="C295" s="2"/>
      <c r="D295" s="13" t="s">
        <v>2118</v>
      </c>
      <c r="E295" s="14">
        <v>250</v>
      </c>
      <c r="F295" s="15">
        <v>340</v>
      </c>
      <c r="G295" s="14">
        <v>1030</v>
      </c>
      <c r="H295" s="28">
        <v>62</v>
      </c>
      <c r="I295" s="136">
        <v>70</v>
      </c>
      <c r="J295" s="27" t="s">
        <v>719</v>
      </c>
      <c r="K295" s="28">
        <v>1480</v>
      </c>
      <c r="L295" s="28" t="s">
        <v>566</v>
      </c>
      <c r="M295" s="38" t="s">
        <v>1830</v>
      </c>
      <c r="N295" s="100" t="s">
        <v>1831</v>
      </c>
      <c r="O295" s="153" t="s">
        <v>1260</v>
      </c>
      <c r="P295" s="153" t="s">
        <v>1260</v>
      </c>
    </row>
    <row r="296" spans="3:16" ht="15.75" thickBot="1">
      <c r="C296" s="2"/>
      <c r="D296" s="13" t="s">
        <v>2119</v>
      </c>
      <c r="E296" s="14">
        <v>200</v>
      </c>
      <c r="F296" s="15">
        <v>270</v>
      </c>
      <c r="G296" s="14">
        <v>968</v>
      </c>
      <c r="H296" s="28">
        <v>55</v>
      </c>
      <c r="I296" s="136">
        <v>62</v>
      </c>
      <c r="J296" s="27" t="s">
        <v>719</v>
      </c>
      <c r="K296" s="28">
        <v>1480</v>
      </c>
      <c r="L296" s="28" t="s">
        <v>566</v>
      </c>
      <c r="M296" s="38" t="s">
        <v>1830</v>
      </c>
      <c r="N296" s="100" t="s">
        <v>1831</v>
      </c>
      <c r="O296" s="153" t="s">
        <v>1260</v>
      </c>
      <c r="P296" s="153" t="s">
        <v>1260</v>
      </c>
    </row>
    <row r="297" spans="3:16" ht="15.75" thickBot="1">
      <c r="C297" s="2"/>
      <c r="D297" s="13" t="s">
        <v>2120</v>
      </c>
      <c r="E297" s="14">
        <v>160</v>
      </c>
      <c r="F297" s="15">
        <v>220</v>
      </c>
      <c r="G297" s="14">
        <v>906</v>
      </c>
      <c r="H297" s="28">
        <v>43</v>
      </c>
      <c r="I297" s="136">
        <v>48</v>
      </c>
      <c r="J297" s="27" t="s">
        <v>719</v>
      </c>
      <c r="K297" s="28">
        <v>1480</v>
      </c>
      <c r="L297" s="28" t="s">
        <v>566</v>
      </c>
      <c r="M297" s="38" t="s">
        <v>1830</v>
      </c>
      <c r="N297" s="100" t="s">
        <v>1831</v>
      </c>
      <c r="O297" s="153" t="s">
        <v>1260</v>
      </c>
      <c r="P297" s="153" t="s">
        <v>1260</v>
      </c>
    </row>
    <row r="298" spans="3:16" ht="15.75" thickBot="1">
      <c r="C298" s="2"/>
      <c r="D298" s="13" t="s">
        <v>2121</v>
      </c>
      <c r="E298" s="14">
        <v>110</v>
      </c>
      <c r="F298" s="15">
        <v>150</v>
      </c>
      <c r="G298" s="14">
        <v>845</v>
      </c>
      <c r="H298" s="28">
        <v>29</v>
      </c>
      <c r="I298" s="136">
        <v>32</v>
      </c>
      <c r="J298" s="27" t="s">
        <v>719</v>
      </c>
      <c r="K298" s="28">
        <v>1480</v>
      </c>
      <c r="L298" s="28" t="s">
        <v>566</v>
      </c>
      <c r="M298" s="38" t="s">
        <v>1830</v>
      </c>
      <c r="N298" s="100" t="s">
        <v>1831</v>
      </c>
      <c r="O298" s="153" t="s">
        <v>1260</v>
      </c>
      <c r="P298" s="153" t="s">
        <v>1260</v>
      </c>
    </row>
    <row r="299" spans="3:16" ht="15.75" thickBot="1">
      <c r="C299" s="2"/>
      <c r="D299" s="13" t="s">
        <v>2122</v>
      </c>
      <c r="E299" s="14">
        <v>630</v>
      </c>
      <c r="F299" s="15">
        <v>850</v>
      </c>
      <c r="G299" s="14">
        <v>1280</v>
      </c>
      <c r="H299" s="28">
        <v>121</v>
      </c>
      <c r="I299" s="136">
        <v>134</v>
      </c>
      <c r="J299" s="27" t="s">
        <v>719</v>
      </c>
      <c r="K299" s="28">
        <v>1480</v>
      </c>
      <c r="L299" s="28" t="s">
        <v>566</v>
      </c>
      <c r="M299" s="38" t="s">
        <v>1856</v>
      </c>
      <c r="N299" s="100" t="s">
        <v>2092</v>
      </c>
      <c r="O299" s="153" t="s">
        <v>1260</v>
      </c>
      <c r="P299" s="153" t="s">
        <v>1260</v>
      </c>
    </row>
    <row r="300" spans="3:16" ht="15.75" thickBot="1">
      <c r="C300" s="2"/>
      <c r="D300" s="13" t="s">
        <v>2123</v>
      </c>
      <c r="E300" s="14">
        <v>500</v>
      </c>
      <c r="F300" s="15">
        <v>670</v>
      </c>
      <c r="G300" s="14">
        <v>1203</v>
      </c>
      <c r="H300" s="28">
        <v>107</v>
      </c>
      <c r="I300" s="136">
        <v>118</v>
      </c>
      <c r="J300" s="27" t="s">
        <v>719</v>
      </c>
      <c r="K300" s="28">
        <v>1480</v>
      </c>
      <c r="L300" s="28" t="s">
        <v>566</v>
      </c>
      <c r="M300" s="38" t="s">
        <v>1856</v>
      </c>
      <c r="N300" s="100" t="s">
        <v>2092</v>
      </c>
      <c r="O300" s="153" t="s">
        <v>1260</v>
      </c>
      <c r="P300" s="153" t="s">
        <v>1260</v>
      </c>
    </row>
    <row r="301" spans="3:16" ht="15.75" thickBot="1">
      <c r="C301" s="2"/>
      <c r="D301" s="13" t="s">
        <v>2124</v>
      </c>
      <c r="E301" s="14">
        <v>355</v>
      </c>
      <c r="F301" s="15">
        <v>480</v>
      </c>
      <c r="G301" s="14">
        <v>1114</v>
      </c>
      <c r="H301" s="28">
        <v>81</v>
      </c>
      <c r="I301" s="136">
        <v>90</v>
      </c>
      <c r="J301" s="27" t="s">
        <v>719</v>
      </c>
      <c r="K301" s="28">
        <v>1480</v>
      </c>
      <c r="L301" s="28" t="s">
        <v>566</v>
      </c>
      <c r="M301" s="38" t="s">
        <v>1856</v>
      </c>
      <c r="N301" s="100" t="s">
        <v>1831</v>
      </c>
      <c r="O301" s="153" t="s">
        <v>1260</v>
      </c>
      <c r="P301" s="153" t="s">
        <v>1260</v>
      </c>
    </row>
    <row r="302" spans="3:16" ht="15.75" thickBot="1">
      <c r="C302" s="2"/>
      <c r="D302" s="13" t="s">
        <v>2125</v>
      </c>
      <c r="E302" s="14">
        <v>220</v>
      </c>
      <c r="F302" s="15">
        <v>300</v>
      </c>
      <c r="G302" s="14">
        <v>1024</v>
      </c>
      <c r="H302" s="28">
        <v>52</v>
      </c>
      <c r="I302" s="136">
        <v>57</v>
      </c>
      <c r="J302" s="27" t="s">
        <v>719</v>
      </c>
      <c r="K302" s="28">
        <v>1480</v>
      </c>
      <c r="L302" s="28" t="s">
        <v>566</v>
      </c>
      <c r="M302" s="38" t="s">
        <v>1856</v>
      </c>
      <c r="N302" s="100" t="s">
        <v>1831</v>
      </c>
      <c r="O302" s="153" t="s">
        <v>1260</v>
      </c>
      <c r="P302" s="153" t="s">
        <v>1260</v>
      </c>
    </row>
    <row r="303" spans="3:16" ht="15.75" thickBot="1">
      <c r="C303" s="2"/>
      <c r="D303" s="13" t="s">
        <v>2126</v>
      </c>
      <c r="E303" s="14">
        <v>500</v>
      </c>
      <c r="F303" s="15">
        <v>670</v>
      </c>
      <c r="G303" s="14">
        <v>1100</v>
      </c>
      <c r="H303" s="28">
        <v>109</v>
      </c>
      <c r="I303" s="136">
        <v>121</v>
      </c>
      <c r="J303" s="27" t="s">
        <v>719</v>
      </c>
      <c r="K303" s="28">
        <v>1480</v>
      </c>
      <c r="L303" s="28" t="s">
        <v>566</v>
      </c>
      <c r="M303" s="38" t="s">
        <v>1856</v>
      </c>
      <c r="N303" s="100" t="s">
        <v>2092</v>
      </c>
      <c r="O303" s="153" t="s">
        <v>1260</v>
      </c>
      <c r="P303" s="153" t="s">
        <v>1260</v>
      </c>
    </row>
    <row r="304" spans="3:16" ht="15.75" thickBot="1">
      <c r="C304" s="2"/>
      <c r="D304" s="13" t="s">
        <v>2127</v>
      </c>
      <c r="E304" s="14">
        <v>400</v>
      </c>
      <c r="F304" s="15">
        <v>540</v>
      </c>
      <c r="G304" s="14">
        <v>1034</v>
      </c>
      <c r="H304" s="28">
        <v>96</v>
      </c>
      <c r="I304" s="136">
        <v>107</v>
      </c>
      <c r="J304" s="27" t="s">
        <v>719</v>
      </c>
      <c r="K304" s="28">
        <v>1480</v>
      </c>
      <c r="L304" s="28" t="s">
        <v>566</v>
      </c>
      <c r="M304" s="38" t="s">
        <v>1856</v>
      </c>
      <c r="N304" s="100" t="s">
        <v>2092</v>
      </c>
      <c r="O304" s="153" t="s">
        <v>1260</v>
      </c>
      <c r="P304" s="153" t="s">
        <v>1260</v>
      </c>
    </row>
    <row r="305" spans="3:16" ht="15.75" thickBot="1">
      <c r="C305" s="2"/>
      <c r="D305" s="13" t="s">
        <v>2128</v>
      </c>
      <c r="E305" s="14">
        <v>280</v>
      </c>
      <c r="F305" s="15">
        <v>380</v>
      </c>
      <c r="G305" s="14">
        <v>957</v>
      </c>
      <c r="H305" s="28">
        <v>73</v>
      </c>
      <c r="I305" s="136">
        <v>81</v>
      </c>
      <c r="J305" s="27" t="s">
        <v>719</v>
      </c>
      <c r="K305" s="28">
        <v>1480</v>
      </c>
      <c r="L305" s="28" t="s">
        <v>566</v>
      </c>
      <c r="M305" s="38" t="s">
        <v>1856</v>
      </c>
      <c r="N305" s="100" t="s">
        <v>1831</v>
      </c>
      <c r="O305" s="153" t="s">
        <v>1260</v>
      </c>
      <c r="P305" s="153" t="s">
        <v>1260</v>
      </c>
    </row>
    <row r="306" spans="3:16" ht="15.75" thickBot="1">
      <c r="C306" s="2"/>
      <c r="D306" s="13" t="s">
        <v>2129</v>
      </c>
      <c r="E306" s="14">
        <v>185</v>
      </c>
      <c r="F306" s="15">
        <v>250</v>
      </c>
      <c r="G306" s="14">
        <v>880</v>
      </c>
      <c r="H306" s="28">
        <v>47</v>
      </c>
      <c r="I306" s="136">
        <v>52</v>
      </c>
      <c r="J306" s="27" t="s">
        <v>719</v>
      </c>
      <c r="K306" s="28">
        <v>1480</v>
      </c>
      <c r="L306" s="28" t="s">
        <v>566</v>
      </c>
      <c r="M306" s="38" t="s">
        <v>1856</v>
      </c>
      <c r="N306" s="100" t="s">
        <v>1831</v>
      </c>
      <c r="O306" s="153" t="s">
        <v>1260</v>
      </c>
      <c r="P306" s="153" t="s">
        <v>1260</v>
      </c>
    </row>
    <row r="307" spans="3:16" ht="15.75" thickBot="1">
      <c r="C307" s="2"/>
      <c r="D307" s="13" t="s">
        <v>2130</v>
      </c>
      <c r="E307" s="14">
        <v>1120</v>
      </c>
      <c r="F307" s="15">
        <v>1500</v>
      </c>
      <c r="G307" s="14">
        <v>1260</v>
      </c>
      <c r="H307" s="28">
        <v>205</v>
      </c>
      <c r="I307" s="136">
        <v>219</v>
      </c>
      <c r="J307" s="27" t="s">
        <v>719</v>
      </c>
      <c r="K307" s="28">
        <v>1480</v>
      </c>
      <c r="L307" s="28" t="s">
        <v>566</v>
      </c>
      <c r="M307" s="38" t="s">
        <v>1856</v>
      </c>
      <c r="N307" s="100" t="s">
        <v>2092</v>
      </c>
      <c r="O307" s="153" t="s">
        <v>1260</v>
      </c>
      <c r="P307" s="153" t="s">
        <v>1260</v>
      </c>
    </row>
    <row r="308" spans="3:16" ht="15.75" thickBot="1">
      <c r="C308" s="2"/>
      <c r="D308" s="13" t="s">
        <v>2131</v>
      </c>
      <c r="E308" s="14">
        <v>900</v>
      </c>
      <c r="F308" s="15">
        <v>1200</v>
      </c>
      <c r="G308" s="14">
        <v>1184</v>
      </c>
      <c r="H308" s="28">
        <v>181</v>
      </c>
      <c r="I308" s="136">
        <v>194</v>
      </c>
      <c r="J308" s="27" t="s">
        <v>719</v>
      </c>
      <c r="K308" s="28">
        <v>1480</v>
      </c>
      <c r="L308" s="28" t="s">
        <v>566</v>
      </c>
      <c r="M308" s="38" t="s">
        <v>1856</v>
      </c>
      <c r="N308" s="100" t="s">
        <v>2092</v>
      </c>
      <c r="O308" s="153" t="s">
        <v>1260</v>
      </c>
      <c r="P308" s="153" t="s">
        <v>1260</v>
      </c>
    </row>
    <row r="309" spans="3:16" ht="15.75" thickBot="1">
      <c r="C309" s="2"/>
      <c r="D309" s="13" t="s">
        <v>2132</v>
      </c>
      <c r="E309" s="14">
        <v>630</v>
      </c>
      <c r="F309" s="15">
        <v>850</v>
      </c>
      <c r="G309" s="14">
        <v>1069</v>
      </c>
      <c r="H309" s="28">
        <v>137</v>
      </c>
      <c r="I309" s="136">
        <v>146</v>
      </c>
      <c r="J309" s="27" t="s">
        <v>719</v>
      </c>
      <c r="K309" s="28">
        <v>1480</v>
      </c>
      <c r="L309" s="28" t="s">
        <v>566</v>
      </c>
      <c r="M309" s="38" t="s">
        <v>1856</v>
      </c>
      <c r="N309" s="100" t="s">
        <v>2092</v>
      </c>
      <c r="O309" s="153" t="s">
        <v>1260</v>
      </c>
      <c r="P309" s="153" t="s">
        <v>1260</v>
      </c>
    </row>
    <row r="310" spans="3:16" ht="15.75" thickBot="1">
      <c r="C310" s="2"/>
      <c r="D310" s="13" t="s">
        <v>2133</v>
      </c>
      <c r="E310" s="14">
        <v>400</v>
      </c>
      <c r="F310" s="15">
        <v>540</v>
      </c>
      <c r="G310" s="14">
        <v>1008</v>
      </c>
      <c r="H310" s="28">
        <v>88</v>
      </c>
      <c r="I310" s="136">
        <v>94</v>
      </c>
      <c r="J310" s="27" t="s">
        <v>719</v>
      </c>
      <c r="K310" s="28">
        <v>1480</v>
      </c>
      <c r="L310" s="28" t="s">
        <v>566</v>
      </c>
      <c r="M310" s="38" t="s">
        <v>1856</v>
      </c>
      <c r="N310" s="100" t="s">
        <v>2092</v>
      </c>
      <c r="O310" s="153" t="s">
        <v>1260</v>
      </c>
      <c r="P310" s="153" t="s">
        <v>1260</v>
      </c>
    </row>
    <row r="311" spans="3:16" ht="15.75" thickBot="1">
      <c r="C311" s="2"/>
      <c r="D311" s="13" t="s">
        <v>2134</v>
      </c>
      <c r="E311" s="14">
        <v>900</v>
      </c>
      <c r="F311" s="15">
        <v>1200</v>
      </c>
      <c r="G311" s="14">
        <v>1070</v>
      </c>
      <c r="H311" s="28">
        <v>184</v>
      </c>
      <c r="I311" s="136">
        <v>196</v>
      </c>
      <c r="J311" s="27" t="s">
        <v>719</v>
      </c>
      <c r="K311" s="28">
        <v>1480</v>
      </c>
      <c r="L311" s="28" t="s">
        <v>566</v>
      </c>
      <c r="M311" s="38" t="s">
        <v>1856</v>
      </c>
      <c r="N311" s="100" t="s">
        <v>2092</v>
      </c>
      <c r="O311" s="153" t="s">
        <v>1260</v>
      </c>
      <c r="P311" s="153" t="s">
        <v>1260</v>
      </c>
    </row>
    <row r="312" spans="3:16" ht="15.75" thickBot="1">
      <c r="C312" s="2"/>
      <c r="D312" s="13" t="s">
        <v>2135</v>
      </c>
      <c r="E312" s="14">
        <v>710</v>
      </c>
      <c r="F312" s="15">
        <v>950</v>
      </c>
      <c r="G312" s="14">
        <v>1006</v>
      </c>
      <c r="H312" s="28">
        <v>163</v>
      </c>
      <c r="I312" s="136">
        <v>173</v>
      </c>
      <c r="J312" s="27" t="s">
        <v>719</v>
      </c>
      <c r="K312" s="28">
        <v>1480</v>
      </c>
      <c r="L312" s="28" t="s">
        <v>566</v>
      </c>
      <c r="M312" s="38" t="s">
        <v>1856</v>
      </c>
      <c r="N312" s="100" t="s">
        <v>2092</v>
      </c>
      <c r="O312" s="153" t="s">
        <v>1260</v>
      </c>
      <c r="P312" s="153" t="s">
        <v>1260</v>
      </c>
    </row>
    <row r="313" spans="3:16" ht="15.75" thickBot="1">
      <c r="C313" s="2"/>
      <c r="D313" s="13" t="s">
        <v>2136</v>
      </c>
      <c r="E313" s="14">
        <v>500</v>
      </c>
      <c r="F313" s="15">
        <v>670</v>
      </c>
      <c r="G313" s="14">
        <v>931</v>
      </c>
      <c r="H313" s="28">
        <v>123</v>
      </c>
      <c r="I313" s="136">
        <v>131</v>
      </c>
      <c r="J313" s="27" t="s">
        <v>719</v>
      </c>
      <c r="K313" s="28">
        <v>1480</v>
      </c>
      <c r="L313" s="28" t="s">
        <v>566</v>
      </c>
      <c r="M313" s="38" t="s">
        <v>1856</v>
      </c>
      <c r="N313" s="100" t="s">
        <v>2092</v>
      </c>
      <c r="O313" s="153" t="s">
        <v>1260</v>
      </c>
      <c r="P313" s="153" t="s">
        <v>1260</v>
      </c>
    </row>
    <row r="314" spans="3:16" ht="15.75" thickBot="1">
      <c r="C314" s="2"/>
      <c r="D314" s="13" t="s">
        <v>2137</v>
      </c>
      <c r="E314" s="14">
        <v>315</v>
      </c>
      <c r="F314" s="15">
        <v>430</v>
      </c>
      <c r="G314" s="14">
        <v>856</v>
      </c>
      <c r="H314" s="28">
        <v>79</v>
      </c>
      <c r="I314" s="136">
        <v>84</v>
      </c>
      <c r="J314" s="27" t="s">
        <v>719</v>
      </c>
      <c r="K314" s="28">
        <v>1480</v>
      </c>
      <c r="L314" s="28" t="s">
        <v>566</v>
      </c>
      <c r="M314" s="38" t="s">
        <v>1856</v>
      </c>
      <c r="N314" s="100" t="s">
        <v>1831</v>
      </c>
      <c r="O314" s="153" t="s">
        <v>1260</v>
      </c>
      <c r="P314" s="153" t="s">
        <v>1260</v>
      </c>
    </row>
    <row r="315" spans="3:16" ht="15.75" thickBot="1">
      <c r="C315" s="2"/>
      <c r="D315" s="13" t="s">
        <v>2138</v>
      </c>
      <c r="E315" s="14">
        <v>30</v>
      </c>
      <c r="F315" s="15">
        <v>40</v>
      </c>
      <c r="G315" s="14">
        <v>710</v>
      </c>
      <c r="H315" s="28">
        <v>8.3000000000000007</v>
      </c>
      <c r="I315" s="136">
        <v>11.1</v>
      </c>
      <c r="J315" s="27" t="s">
        <v>2139</v>
      </c>
      <c r="K315" s="28">
        <v>1480</v>
      </c>
      <c r="L315" s="28" t="s">
        <v>566</v>
      </c>
      <c r="M315" s="38" t="s">
        <v>1830</v>
      </c>
      <c r="N315" s="100" t="s">
        <v>1831</v>
      </c>
      <c r="O315" s="153" t="s">
        <v>1260</v>
      </c>
      <c r="P315" s="153" t="s">
        <v>1260</v>
      </c>
    </row>
    <row r="316" spans="3:16" ht="15.75" thickBot="1">
      <c r="C316" s="2"/>
      <c r="D316" s="13" t="s">
        <v>2140</v>
      </c>
      <c r="E316" s="14">
        <v>22</v>
      </c>
      <c r="F316" s="15">
        <v>30</v>
      </c>
      <c r="G316" s="14">
        <v>667</v>
      </c>
      <c r="H316" s="28">
        <v>7</v>
      </c>
      <c r="I316" s="136">
        <v>10</v>
      </c>
      <c r="J316" s="27" t="s">
        <v>2139</v>
      </c>
      <c r="K316" s="28">
        <v>1480</v>
      </c>
      <c r="L316" s="28" t="s">
        <v>566</v>
      </c>
      <c r="M316" s="38" t="s">
        <v>1830</v>
      </c>
      <c r="N316" s="100" t="s">
        <v>1831</v>
      </c>
      <c r="O316" s="153" t="s">
        <v>1260</v>
      </c>
      <c r="P316" s="153" t="s">
        <v>1260</v>
      </c>
    </row>
    <row r="317" spans="3:16" ht="15.75" thickBot="1">
      <c r="C317" s="2"/>
      <c r="D317" s="13" t="s">
        <v>2141</v>
      </c>
      <c r="E317" s="14">
        <v>18.5</v>
      </c>
      <c r="F317" s="15">
        <v>25</v>
      </c>
      <c r="G317" s="14">
        <v>633</v>
      </c>
      <c r="H317" s="28">
        <v>6</v>
      </c>
      <c r="I317" s="136">
        <v>8</v>
      </c>
      <c r="J317" s="27" t="s">
        <v>2139</v>
      </c>
      <c r="K317" s="28">
        <v>1480</v>
      </c>
      <c r="L317" s="28" t="s">
        <v>566</v>
      </c>
      <c r="M317" s="38" t="s">
        <v>1830</v>
      </c>
      <c r="N317" s="100" t="s">
        <v>1831</v>
      </c>
      <c r="O317" s="153" t="s">
        <v>1260</v>
      </c>
      <c r="P317" s="153" t="s">
        <v>1260</v>
      </c>
    </row>
    <row r="318" spans="3:16" ht="15.75" thickBot="1">
      <c r="C318" s="2"/>
      <c r="D318" s="13" t="s">
        <v>2142</v>
      </c>
      <c r="E318" s="14">
        <v>22</v>
      </c>
      <c r="F318" s="15">
        <v>30</v>
      </c>
      <c r="G318" s="14">
        <v>609</v>
      </c>
      <c r="H318" s="28">
        <v>7.5</v>
      </c>
      <c r="I318" s="136">
        <v>10</v>
      </c>
      <c r="J318" s="27" t="s">
        <v>2139</v>
      </c>
      <c r="K318" s="28">
        <v>1480</v>
      </c>
      <c r="L318" s="28" t="s">
        <v>566</v>
      </c>
      <c r="M318" s="38" t="s">
        <v>1830</v>
      </c>
      <c r="N318" s="100" t="s">
        <v>1831</v>
      </c>
      <c r="O318" s="153" t="s">
        <v>1260</v>
      </c>
      <c r="P318" s="153" t="s">
        <v>1260</v>
      </c>
    </row>
    <row r="319" spans="3:16" ht="15.75" thickBot="1">
      <c r="C319" s="2"/>
      <c r="D319" s="13" t="s">
        <v>2143</v>
      </c>
      <c r="E319" s="14">
        <v>18.5</v>
      </c>
      <c r="F319" s="15">
        <v>25</v>
      </c>
      <c r="G319" s="14">
        <v>572</v>
      </c>
      <c r="H319" s="28">
        <v>7</v>
      </c>
      <c r="I319" s="136">
        <v>9</v>
      </c>
      <c r="J319" s="27" t="s">
        <v>2139</v>
      </c>
      <c r="K319" s="28">
        <v>1480</v>
      </c>
      <c r="L319" s="28" t="s">
        <v>566</v>
      </c>
      <c r="M319" s="38" t="s">
        <v>1830</v>
      </c>
      <c r="N319" s="100" t="s">
        <v>1831</v>
      </c>
      <c r="O319" s="153" t="s">
        <v>1260</v>
      </c>
      <c r="P319" s="153" t="s">
        <v>1260</v>
      </c>
    </row>
    <row r="320" spans="3:16" ht="15.75" thickBot="1">
      <c r="C320" s="2"/>
      <c r="D320" s="13" t="s">
        <v>2144</v>
      </c>
      <c r="E320" s="14">
        <v>15</v>
      </c>
      <c r="F320" s="15">
        <v>20</v>
      </c>
      <c r="G320" s="14">
        <v>543</v>
      </c>
      <c r="H320" s="28">
        <v>5</v>
      </c>
      <c r="I320" s="136">
        <v>7</v>
      </c>
      <c r="J320" s="27" t="s">
        <v>2139</v>
      </c>
      <c r="K320" s="28">
        <v>1480</v>
      </c>
      <c r="L320" s="28" t="s">
        <v>566</v>
      </c>
      <c r="M320" s="38" t="s">
        <v>1830</v>
      </c>
      <c r="N320" s="100" t="s">
        <v>1831</v>
      </c>
      <c r="O320" s="153" t="s">
        <v>1260</v>
      </c>
      <c r="P320" s="153" t="s">
        <v>1260</v>
      </c>
    </row>
    <row r="321" spans="3:16" ht="15.75" thickBot="1">
      <c r="C321" s="2"/>
      <c r="D321" s="13" t="s">
        <v>2145</v>
      </c>
      <c r="E321" s="14">
        <v>37</v>
      </c>
      <c r="F321" s="15">
        <v>50</v>
      </c>
      <c r="G321" s="14">
        <v>790</v>
      </c>
      <c r="H321" s="28">
        <v>12</v>
      </c>
      <c r="I321" s="136">
        <v>16</v>
      </c>
      <c r="J321" s="27" t="s">
        <v>2139</v>
      </c>
      <c r="K321" s="28">
        <v>1480</v>
      </c>
      <c r="L321" s="28" t="s">
        <v>566</v>
      </c>
      <c r="M321" s="38" t="s">
        <v>1830</v>
      </c>
      <c r="N321" s="100" t="s">
        <v>1831</v>
      </c>
      <c r="O321" s="153" t="s">
        <v>1260</v>
      </c>
      <c r="P321" s="153" t="s">
        <v>1260</v>
      </c>
    </row>
    <row r="322" spans="3:16" ht="15.75" thickBot="1">
      <c r="C322" s="2"/>
      <c r="D322" s="13" t="s">
        <v>2146</v>
      </c>
      <c r="E322" s="14">
        <v>37</v>
      </c>
      <c r="F322" s="15">
        <v>50</v>
      </c>
      <c r="G322" s="14">
        <v>743</v>
      </c>
      <c r="H322" s="28">
        <v>11</v>
      </c>
      <c r="I322" s="136">
        <v>14</v>
      </c>
      <c r="J322" s="27" t="s">
        <v>2139</v>
      </c>
      <c r="K322" s="28">
        <v>1480</v>
      </c>
      <c r="L322" s="28" t="s">
        <v>566</v>
      </c>
      <c r="M322" s="38" t="s">
        <v>1830</v>
      </c>
      <c r="N322" s="100" t="s">
        <v>1831</v>
      </c>
      <c r="O322" s="153" t="s">
        <v>1260</v>
      </c>
      <c r="P322" s="153" t="s">
        <v>1260</v>
      </c>
    </row>
    <row r="323" spans="3:16" ht="15.75" thickBot="1">
      <c r="C323" s="2"/>
      <c r="D323" s="13" t="s">
        <v>2147</v>
      </c>
      <c r="E323" s="14">
        <v>30</v>
      </c>
      <c r="F323" s="15">
        <v>40</v>
      </c>
      <c r="G323" s="14">
        <v>705</v>
      </c>
      <c r="H323" s="28">
        <v>8</v>
      </c>
      <c r="I323" s="136">
        <v>11</v>
      </c>
      <c r="J323" s="27" t="s">
        <v>2139</v>
      </c>
      <c r="K323" s="28">
        <v>1480</v>
      </c>
      <c r="L323" s="28" t="s">
        <v>566</v>
      </c>
      <c r="M323" s="38" t="s">
        <v>1830</v>
      </c>
      <c r="N323" s="100" t="s">
        <v>1831</v>
      </c>
      <c r="O323" s="153" t="s">
        <v>1260</v>
      </c>
      <c r="P323" s="153" t="s">
        <v>1260</v>
      </c>
    </row>
    <row r="324" spans="3:16" ht="15.75" thickBot="1">
      <c r="C324" s="2"/>
      <c r="D324" s="13" t="s">
        <v>2148</v>
      </c>
      <c r="E324" s="14">
        <v>30</v>
      </c>
      <c r="F324" s="15">
        <v>40</v>
      </c>
      <c r="G324" s="14">
        <v>677</v>
      </c>
      <c r="H324" s="28">
        <v>11</v>
      </c>
      <c r="I324" s="136">
        <v>14</v>
      </c>
      <c r="J324" s="27" t="s">
        <v>2139</v>
      </c>
      <c r="K324" s="28">
        <v>1480</v>
      </c>
      <c r="L324" s="28" t="s">
        <v>566</v>
      </c>
      <c r="M324" s="38" t="s">
        <v>1830</v>
      </c>
      <c r="N324" s="100" t="s">
        <v>1831</v>
      </c>
      <c r="O324" s="153" t="s">
        <v>1260</v>
      </c>
      <c r="P324" s="153" t="s">
        <v>1260</v>
      </c>
    </row>
    <row r="325" spans="3:16" ht="15.75" thickBot="1">
      <c r="C325" s="2"/>
      <c r="D325" s="13" t="s">
        <v>2149</v>
      </c>
      <c r="E325" s="14">
        <v>30</v>
      </c>
      <c r="F325" s="15">
        <v>40</v>
      </c>
      <c r="G325" s="14">
        <v>637</v>
      </c>
      <c r="H325" s="28">
        <v>10</v>
      </c>
      <c r="I325" s="136">
        <v>13</v>
      </c>
      <c r="J325" s="27" t="s">
        <v>2139</v>
      </c>
      <c r="K325" s="28">
        <v>1480</v>
      </c>
      <c r="L325" s="28" t="s">
        <v>566</v>
      </c>
      <c r="M325" s="38" t="s">
        <v>1830</v>
      </c>
      <c r="N325" s="100" t="s">
        <v>1831</v>
      </c>
      <c r="O325" s="153" t="s">
        <v>1260</v>
      </c>
      <c r="P325" s="153" t="s">
        <v>1260</v>
      </c>
    </row>
    <row r="326" spans="3:16" ht="15.75" thickBot="1">
      <c r="C326" s="2"/>
      <c r="D326" s="13" t="s">
        <v>2150</v>
      </c>
      <c r="E326" s="14">
        <v>22</v>
      </c>
      <c r="F326" s="15">
        <v>30</v>
      </c>
      <c r="G326" s="14">
        <v>604</v>
      </c>
      <c r="H326" s="28">
        <v>8</v>
      </c>
      <c r="I326" s="136">
        <v>10</v>
      </c>
      <c r="J326" s="27" t="s">
        <v>2139</v>
      </c>
      <c r="K326" s="28">
        <v>1480</v>
      </c>
      <c r="L326" s="28" t="s">
        <v>566</v>
      </c>
      <c r="M326" s="38" t="s">
        <v>1830</v>
      </c>
      <c r="N326" s="100" t="s">
        <v>1831</v>
      </c>
      <c r="O326" s="153" t="s">
        <v>1260</v>
      </c>
      <c r="P326" s="153" t="s">
        <v>1260</v>
      </c>
    </row>
    <row r="327" spans="3:16" ht="15.75" thickBot="1">
      <c r="C327" s="2"/>
      <c r="D327" s="13" t="s">
        <v>2151</v>
      </c>
      <c r="E327" s="14">
        <v>110</v>
      </c>
      <c r="F327" s="15">
        <v>150</v>
      </c>
      <c r="G327" s="14">
        <v>1120</v>
      </c>
      <c r="H327" s="28">
        <v>25</v>
      </c>
      <c r="I327" s="136">
        <v>31</v>
      </c>
      <c r="J327" s="27" t="s">
        <v>2152</v>
      </c>
      <c r="K327" s="28">
        <v>1480</v>
      </c>
      <c r="L327" s="28" t="s">
        <v>566</v>
      </c>
      <c r="M327" s="38" t="s">
        <v>1830</v>
      </c>
      <c r="N327" s="100" t="s">
        <v>1831</v>
      </c>
      <c r="O327" s="153" t="s">
        <v>1260</v>
      </c>
      <c r="P327" s="153" t="s">
        <v>1260</v>
      </c>
    </row>
    <row r="328" spans="3:16" ht="15.75" thickBot="1">
      <c r="C328" s="2"/>
      <c r="D328" s="13" t="s">
        <v>2153</v>
      </c>
      <c r="E328" s="14">
        <v>90</v>
      </c>
      <c r="F328" s="15">
        <v>125</v>
      </c>
      <c r="G328" s="14">
        <v>1053</v>
      </c>
      <c r="H328" s="28">
        <v>22</v>
      </c>
      <c r="I328" s="136">
        <v>27</v>
      </c>
      <c r="J328" s="27" t="s">
        <v>2152</v>
      </c>
      <c r="K328" s="28">
        <v>1480</v>
      </c>
      <c r="L328" s="28" t="s">
        <v>566</v>
      </c>
      <c r="M328" s="38" t="s">
        <v>1830</v>
      </c>
      <c r="N328" s="100" t="s">
        <v>1831</v>
      </c>
      <c r="O328" s="153" t="s">
        <v>1260</v>
      </c>
      <c r="P328" s="153" t="s">
        <v>1260</v>
      </c>
    </row>
    <row r="329" spans="3:16" ht="15.75" thickBot="1">
      <c r="C329" s="2"/>
      <c r="D329" s="13" t="s">
        <v>2154</v>
      </c>
      <c r="E329" s="14">
        <v>75</v>
      </c>
      <c r="F329" s="15">
        <v>100</v>
      </c>
      <c r="G329" s="14">
        <v>999</v>
      </c>
      <c r="H329" s="28">
        <v>18</v>
      </c>
      <c r="I329" s="136">
        <v>22</v>
      </c>
      <c r="J329" s="27" t="s">
        <v>2152</v>
      </c>
      <c r="K329" s="28">
        <v>1480</v>
      </c>
      <c r="L329" s="28" t="s">
        <v>566</v>
      </c>
      <c r="M329" s="38" t="s">
        <v>1830</v>
      </c>
      <c r="N329" s="100" t="s">
        <v>1831</v>
      </c>
      <c r="O329" s="153" t="s">
        <v>1260</v>
      </c>
      <c r="P329" s="153" t="s">
        <v>1260</v>
      </c>
    </row>
    <row r="330" spans="3:16" ht="15.75" thickBot="1">
      <c r="C330" s="2"/>
      <c r="D330" s="13" t="s">
        <v>2155</v>
      </c>
      <c r="E330" s="14">
        <v>45</v>
      </c>
      <c r="F330" s="15">
        <v>60</v>
      </c>
      <c r="G330" s="14">
        <v>944</v>
      </c>
      <c r="H330" s="28">
        <v>12</v>
      </c>
      <c r="I330" s="136">
        <v>15</v>
      </c>
      <c r="J330" s="27" t="s">
        <v>2152</v>
      </c>
      <c r="K330" s="28">
        <v>1480</v>
      </c>
      <c r="L330" s="28" t="s">
        <v>566</v>
      </c>
      <c r="M330" s="38" t="s">
        <v>1830</v>
      </c>
      <c r="N330" s="100" t="s">
        <v>1831</v>
      </c>
      <c r="O330" s="153" t="s">
        <v>1260</v>
      </c>
      <c r="P330" s="153" t="s">
        <v>1260</v>
      </c>
    </row>
    <row r="331" spans="3:16" ht="15.75" thickBot="1">
      <c r="C331" s="2"/>
      <c r="D331" s="13" t="s">
        <v>2156</v>
      </c>
      <c r="E331" s="14">
        <v>90</v>
      </c>
      <c r="F331" s="15">
        <v>125</v>
      </c>
      <c r="G331" s="14">
        <v>960</v>
      </c>
      <c r="H331" s="28">
        <v>23</v>
      </c>
      <c r="I331" s="136">
        <v>28</v>
      </c>
      <c r="J331" s="27" t="s">
        <v>2152</v>
      </c>
      <c r="K331" s="28">
        <v>1480</v>
      </c>
      <c r="L331" s="28" t="s">
        <v>566</v>
      </c>
      <c r="M331" s="38" t="s">
        <v>1830</v>
      </c>
      <c r="N331" s="100" t="s">
        <v>1831</v>
      </c>
      <c r="O331" s="153" t="s">
        <v>1260</v>
      </c>
      <c r="P331" s="153" t="s">
        <v>1260</v>
      </c>
    </row>
    <row r="332" spans="3:16" ht="15.75" thickBot="1">
      <c r="C332" s="2"/>
      <c r="D332" s="13" t="s">
        <v>2157</v>
      </c>
      <c r="E332" s="14">
        <v>75</v>
      </c>
      <c r="F332" s="15">
        <v>100</v>
      </c>
      <c r="G332" s="14">
        <v>903</v>
      </c>
      <c r="H332" s="28">
        <v>20</v>
      </c>
      <c r="I332" s="136">
        <v>25</v>
      </c>
      <c r="J332" s="27" t="s">
        <v>2152</v>
      </c>
      <c r="K332" s="28">
        <v>1480</v>
      </c>
      <c r="L332" s="28" t="s">
        <v>566</v>
      </c>
      <c r="M332" s="38" t="s">
        <v>1830</v>
      </c>
      <c r="N332" s="100" t="s">
        <v>1831</v>
      </c>
      <c r="O332" s="153" t="s">
        <v>1260</v>
      </c>
      <c r="P332" s="153" t="s">
        <v>1260</v>
      </c>
    </row>
    <row r="333" spans="3:16" ht="15.75" thickBot="1">
      <c r="C333" s="2"/>
      <c r="D333" s="13" t="s">
        <v>2158</v>
      </c>
      <c r="E333" s="14">
        <v>55</v>
      </c>
      <c r="F333" s="15">
        <v>75</v>
      </c>
      <c r="G333" s="14">
        <v>857</v>
      </c>
      <c r="H333" s="28">
        <v>16</v>
      </c>
      <c r="I333" s="136">
        <v>20</v>
      </c>
      <c r="J333" s="27" t="s">
        <v>2152</v>
      </c>
      <c r="K333" s="28">
        <v>1480</v>
      </c>
      <c r="L333" s="28" t="s">
        <v>566</v>
      </c>
      <c r="M333" s="38" t="s">
        <v>1830</v>
      </c>
      <c r="N333" s="100" t="s">
        <v>1831</v>
      </c>
      <c r="O333" s="153" t="s">
        <v>1260</v>
      </c>
      <c r="P333" s="153" t="s">
        <v>1260</v>
      </c>
    </row>
    <row r="334" spans="3:16" ht="15.75" thickBot="1">
      <c r="C334" s="2"/>
      <c r="D334" s="13" t="s">
        <v>2159</v>
      </c>
      <c r="E334" s="14">
        <v>37</v>
      </c>
      <c r="F334" s="15">
        <v>50</v>
      </c>
      <c r="G334" s="14">
        <v>809</v>
      </c>
      <c r="H334" s="28">
        <v>11</v>
      </c>
      <c r="I334" s="136">
        <v>14</v>
      </c>
      <c r="J334" s="27" t="s">
        <v>2152</v>
      </c>
      <c r="K334" s="28">
        <v>1480</v>
      </c>
      <c r="L334" s="28" t="s">
        <v>566</v>
      </c>
      <c r="M334" s="38" t="s">
        <v>1830</v>
      </c>
      <c r="N334" s="100" t="s">
        <v>1831</v>
      </c>
      <c r="O334" s="153" t="s">
        <v>1260</v>
      </c>
      <c r="P334" s="153" t="s">
        <v>1260</v>
      </c>
    </row>
    <row r="335" spans="3:16" ht="15.75" thickBot="1">
      <c r="C335" s="2"/>
      <c r="D335" s="13" t="s">
        <v>2160</v>
      </c>
      <c r="E335" s="14">
        <v>355</v>
      </c>
      <c r="F335" s="15">
        <v>480</v>
      </c>
      <c r="G335" s="14">
        <v>1730</v>
      </c>
      <c r="H335" s="28">
        <v>55</v>
      </c>
      <c r="I335" s="136">
        <v>65</v>
      </c>
      <c r="J335" s="27" t="s">
        <v>2161</v>
      </c>
      <c r="K335" s="28">
        <v>1480</v>
      </c>
      <c r="L335" s="28" t="s">
        <v>566</v>
      </c>
      <c r="M335" s="38" t="s">
        <v>1830</v>
      </c>
      <c r="N335" s="100" t="s">
        <v>1831</v>
      </c>
      <c r="O335" s="153" t="s">
        <v>1260</v>
      </c>
      <c r="P335" s="153" t="s">
        <v>1260</v>
      </c>
    </row>
    <row r="336" spans="3:16" ht="15.75" thickBot="1">
      <c r="C336" s="2"/>
      <c r="D336" s="13" t="s">
        <v>2162</v>
      </c>
      <c r="E336" s="14">
        <v>315</v>
      </c>
      <c r="F336" s="15">
        <v>430</v>
      </c>
      <c r="G336" s="14">
        <v>1626</v>
      </c>
      <c r="H336" s="28">
        <v>49</v>
      </c>
      <c r="I336" s="136">
        <v>57</v>
      </c>
      <c r="J336" s="27" t="s">
        <v>2161</v>
      </c>
      <c r="K336" s="28">
        <v>1480</v>
      </c>
      <c r="L336" s="28" t="s">
        <v>566</v>
      </c>
      <c r="M336" s="38" t="s">
        <v>1830</v>
      </c>
      <c r="N336" s="100" t="s">
        <v>1831</v>
      </c>
      <c r="O336" s="153" t="s">
        <v>1260</v>
      </c>
      <c r="P336" s="153" t="s">
        <v>1260</v>
      </c>
    </row>
    <row r="337" spans="3:16" ht="15.75" thickBot="1">
      <c r="C337" s="2"/>
      <c r="D337" s="13" t="s">
        <v>2163</v>
      </c>
      <c r="E337" s="14">
        <v>220</v>
      </c>
      <c r="F337" s="15">
        <v>300</v>
      </c>
      <c r="G337" s="14">
        <v>1522</v>
      </c>
      <c r="H337" s="28">
        <v>38</v>
      </c>
      <c r="I337" s="136">
        <v>44</v>
      </c>
      <c r="J337" s="27" t="s">
        <v>2161</v>
      </c>
      <c r="K337" s="28">
        <v>1480</v>
      </c>
      <c r="L337" s="28" t="s">
        <v>566</v>
      </c>
      <c r="M337" s="38" t="s">
        <v>1830</v>
      </c>
      <c r="N337" s="100" t="s">
        <v>1831</v>
      </c>
      <c r="O337" s="153" t="s">
        <v>1260</v>
      </c>
      <c r="P337" s="153" t="s">
        <v>1260</v>
      </c>
    </row>
    <row r="338" spans="3:16" ht="15.75" thickBot="1">
      <c r="C338" s="2"/>
      <c r="D338" s="13" t="s">
        <v>2164</v>
      </c>
      <c r="E338" s="14">
        <v>160</v>
      </c>
      <c r="F338" s="15">
        <v>220</v>
      </c>
      <c r="G338" s="14">
        <v>1417</v>
      </c>
      <c r="H338" s="28">
        <v>25</v>
      </c>
      <c r="I338" s="136">
        <v>30</v>
      </c>
      <c r="J338" s="27" t="s">
        <v>2161</v>
      </c>
      <c r="K338" s="28">
        <v>1480</v>
      </c>
      <c r="L338" s="28" t="s">
        <v>566</v>
      </c>
      <c r="M338" s="38" t="s">
        <v>1830</v>
      </c>
      <c r="N338" s="100" t="s">
        <v>1831</v>
      </c>
      <c r="O338" s="153" t="s">
        <v>1260</v>
      </c>
      <c r="P338" s="153" t="s">
        <v>1260</v>
      </c>
    </row>
    <row r="339" spans="3:16" ht="15.75" thickBot="1">
      <c r="C339" s="2"/>
      <c r="D339" s="13" t="s">
        <v>2165</v>
      </c>
      <c r="E339" s="14">
        <v>280</v>
      </c>
      <c r="F339" s="15">
        <v>380</v>
      </c>
      <c r="G339" s="14">
        <v>1480</v>
      </c>
      <c r="H339" s="28">
        <v>50</v>
      </c>
      <c r="I339" s="136">
        <v>59</v>
      </c>
      <c r="J339" s="27" t="s">
        <v>2161</v>
      </c>
      <c r="K339" s="28">
        <v>1480</v>
      </c>
      <c r="L339" s="28" t="s">
        <v>566</v>
      </c>
      <c r="M339" s="38" t="s">
        <v>1830</v>
      </c>
      <c r="N339" s="100" t="s">
        <v>1831</v>
      </c>
      <c r="O339" s="153" t="s">
        <v>1260</v>
      </c>
      <c r="P339" s="153" t="s">
        <v>1260</v>
      </c>
    </row>
    <row r="340" spans="3:16" ht="15.75" thickBot="1">
      <c r="C340" s="2"/>
      <c r="D340" s="13" t="s">
        <v>2166</v>
      </c>
      <c r="E340" s="14">
        <v>250</v>
      </c>
      <c r="F340" s="15">
        <v>340</v>
      </c>
      <c r="G340" s="14">
        <v>1391</v>
      </c>
      <c r="H340" s="28">
        <v>44</v>
      </c>
      <c r="I340" s="136">
        <v>52</v>
      </c>
      <c r="J340" s="27" t="s">
        <v>2161</v>
      </c>
      <c r="K340" s="28">
        <v>1480</v>
      </c>
      <c r="L340" s="28" t="s">
        <v>566</v>
      </c>
      <c r="M340" s="38" t="s">
        <v>1830</v>
      </c>
      <c r="N340" s="100" t="s">
        <v>1831</v>
      </c>
      <c r="O340" s="153" t="s">
        <v>1260</v>
      </c>
      <c r="P340" s="153" t="s">
        <v>1260</v>
      </c>
    </row>
    <row r="341" spans="3:16" ht="15.75" thickBot="1">
      <c r="C341" s="2"/>
      <c r="D341" s="13" t="s">
        <v>2167</v>
      </c>
      <c r="E341" s="14">
        <v>185</v>
      </c>
      <c r="F341" s="15">
        <v>250</v>
      </c>
      <c r="G341" s="14">
        <v>1302</v>
      </c>
      <c r="H341" s="28">
        <v>34</v>
      </c>
      <c r="I341" s="136">
        <v>40</v>
      </c>
      <c r="J341" s="27" t="s">
        <v>2161</v>
      </c>
      <c r="K341" s="28">
        <v>1480</v>
      </c>
      <c r="L341" s="28" t="s">
        <v>566</v>
      </c>
      <c r="M341" s="38" t="s">
        <v>1830</v>
      </c>
      <c r="N341" s="100" t="s">
        <v>1831</v>
      </c>
      <c r="O341" s="153" t="s">
        <v>1260</v>
      </c>
      <c r="P341" s="153" t="s">
        <v>1260</v>
      </c>
    </row>
    <row r="342" spans="3:16" ht="15.75" thickBot="1">
      <c r="C342" s="2"/>
      <c r="D342" s="13" t="s">
        <v>2168</v>
      </c>
      <c r="E342" s="14">
        <v>110</v>
      </c>
      <c r="F342" s="15">
        <v>150</v>
      </c>
      <c r="G342" s="14">
        <v>1212</v>
      </c>
      <c r="H342" s="28">
        <v>23</v>
      </c>
      <c r="I342" s="136">
        <v>27</v>
      </c>
      <c r="J342" s="27" t="s">
        <v>2161</v>
      </c>
      <c r="K342" s="28">
        <v>1480</v>
      </c>
      <c r="L342" s="28" t="s">
        <v>566</v>
      </c>
      <c r="M342" s="38" t="s">
        <v>1830</v>
      </c>
      <c r="N342" s="100" t="s">
        <v>1831</v>
      </c>
      <c r="O342" s="153" t="s">
        <v>1260</v>
      </c>
      <c r="P342" s="153" t="s">
        <v>1260</v>
      </c>
    </row>
    <row r="343" spans="3:16" ht="15.75" thickBot="1">
      <c r="C343" s="2"/>
      <c r="D343" s="13" t="s">
        <v>2169</v>
      </c>
      <c r="E343" s="14">
        <v>710</v>
      </c>
      <c r="F343" s="15">
        <v>950</v>
      </c>
      <c r="G343" s="14">
        <v>1770</v>
      </c>
      <c r="H343" s="28">
        <v>98</v>
      </c>
      <c r="I343" s="136">
        <v>109</v>
      </c>
      <c r="J343" s="27" t="s">
        <v>2161</v>
      </c>
      <c r="K343" s="28">
        <v>1480</v>
      </c>
      <c r="L343" s="28" t="s">
        <v>566</v>
      </c>
      <c r="M343" s="38" t="s">
        <v>1856</v>
      </c>
      <c r="N343" s="100" t="s">
        <v>2092</v>
      </c>
      <c r="O343" s="153" t="s">
        <v>1260</v>
      </c>
      <c r="P343" s="153" t="s">
        <v>1260</v>
      </c>
    </row>
    <row r="344" spans="3:16" ht="15.75" thickBot="1">
      <c r="C344" s="2"/>
      <c r="D344" s="13" t="s">
        <v>2170</v>
      </c>
      <c r="E344" s="14">
        <v>560</v>
      </c>
      <c r="F344" s="15">
        <v>750</v>
      </c>
      <c r="G344" s="14">
        <v>1664</v>
      </c>
      <c r="H344" s="28">
        <v>87</v>
      </c>
      <c r="I344" s="136">
        <v>96</v>
      </c>
      <c r="J344" s="27" t="s">
        <v>2161</v>
      </c>
      <c r="K344" s="28">
        <v>1480</v>
      </c>
      <c r="L344" s="28" t="s">
        <v>566</v>
      </c>
      <c r="M344" s="38" t="s">
        <v>1856</v>
      </c>
      <c r="N344" s="100" t="s">
        <v>2092</v>
      </c>
      <c r="O344" s="153" t="s">
        <v>1260</v>
      </c>
      <c r="P344" s="153" t="s">
        <v>1260</v>
      </c>
    </row>
    <row r="345" spans="3:16" ht="15.75" thickBot="1">
      <c r="C345" s="2"/>
      <c r="D345" s="13" t="s">
        <v>2171</v>
      </c>
      <c r="E345" s="14">
        <v>450</v>
      </c>
      <c r="F345" s="15">
        <v>600</v>
      </c>
      <c r="G345" s="14">
        <v>1558</v>
      </c>
      <c r="H345" s="28">
        <v>67</v>
      </c>
      <c r="I345" s="136">
        <v>75</v>
      </c>
      <c r="J345" s="27" t="s">
        <v>2161</v>
      </c>
      <c r="K345" s="28">
        <v>1480</v>
      </c>
      <c r="L345" s="28" t="s">
        <v>566</v>
      </c>
      <c r="M345" s="38" t="s">
        <v>1856</v>
      </c>
      <c r="N345" s="100" t="s">
        <v>2092</v>
      </c>
      <c r="O345" s="153" t="s">
        <v>1260</v>
      </c>
      <c r="P345" s="153" t="s">
        <v>1260</v>
      </c>
    </row>
    <row r="346" spans="3:16" ht="15.75" thickBot="1">
      <c r="C346" s="2"/>
      <c r="D346" s="13" t="s">
        <v>2172</v>
      </c>
      <c r="E346" s="14">
        <v>280</v>
      </c>
      <c r="F346" s="15">
        <v>380</v>
      </c>
      <c r="G346" s="14">
        <v>1451</v>
      </c>
      <c r="H346" s="28">
        <v>45</v>
      </c>
      <c r="I346" s="136">
        <v>50</v>
      </c>
      <c r="J346" s="27" t="s">
        <v>2161</v>
      </c>
      <c r="K346" s="28">
        <v>1480</v>
      </c>
      <c r="L346" s="28" t="s">
        <v>566</v>
      </c>
      <c r="M346" s="38" t="s">
        <v>1856</v>
      </c>
      <c r="N346" s="100" t="s">
        <v>1831</v>
      </c>
      <c r="O346" s="153" t="s">
        <v>1260</v>
      </c>
      <c r="P346" s="153" t="s">
        <v>1260</v>
      </c>
    </row>
    <row r="347" spans="3:16" ht="15.75" thickBot="1">
      <c r="C347" s="2"/>
      <c r="D347" s="13" t="s">
        <v>2173</v>
      </c>
      <c r="E347" s="14">
        <v>560</v>
      </c>
      <c r="F347" s="15">
        <v>750</v>
      </c>
      <c r="G347" s="14">
        <v>1520</v>
      </c>
      <c r="H347" s="28">
        <v>88</v>
      </c>
      <c r="I347" s="136">
        <v>98</v>
      </c>
      <c r="J347" s="27" t="s">
        <v>2161</v>
      </c>
      <c r="K347" s="28">
        <v>1480</v>
      </c>
      <c r="L347" s="28" t="s">
        <v>566</v>
      </c>
      <c r="M347" s="38" t="s">
        <v>1856</v>
      </c>
      <c r="N347" s="100" t="s">
        <v>2092</v>
      </c>
      <c r="O347" s="153" t="s">
        <v>1260</v>
      </c>
      <c r="P347" s="153" t="s">
        <v>1260</v>
      </c>
    </row>
    <row r="348" spans="3:16" ht="15.75" thickBot="1">
      <c r="C348" s="2"/>
      <c r="D348" s="13" t="s">
        <v>2174</v>
      </c>
      <c r="E348" s="14">
        <v>450</v>
      </c>
      <c r="F348" s="15">
        <v>600</v>
      </c>
      <c r="G348" s="14">
        <v>1429</v>
      </c>
      <c r="H348" s="28">
        <v>78</v>
      </c>
      <c r="I348" s="136">
        <v>87</v>
      </c>
      <c r="J348" s="27" t="s">
        <v>2161</v>
      </c>
      <c r="K348" s="28">
        <v>1480</v>
      </c>
      <c r="L348" s="28" t="s">
        <v>566</v>
      </c>
      <c r="M348" s="38" t="s">
        <v>1856</v>
      </c>
      <c r="N348" s="100" t="s">
        <v>2092</v>
      </c>
      <c r="O348" s="153" t="s">
        <v>1260</v>
      </c>
      <c r="P348" s="153" t="s">
        <v>1260</v>
      </c>
    </row>
    <row r="349" spans="3:16" ht="15.75" thickBot="1">
      <c r="C349" s="2"/>
      <c r="D349" s="13" t="s">
        <v>2175</v>
      </c>
      <c r="E349" s="14">
        <v>355</v>
      </c>
      <c r="F349" s="15">
        <v>480</v>
      </c>
      <c r="G349" s="14">
        <v>1338</v>
      </c>
      <c r="H349" s="28">
        <v>61</v>
      </c>
      <c r="I349" s="136">
        <v>67</v>
      </c>
      <c r="J349" s="27" t="s">
        <v>2161</v>
      </c>
      <c r="K349" s="28">
        <v>1480</v>
      </c>
      <c r="L349" s="28" t="s">
        <v>566</v>
      </c>
      <c r="M349" s="38" t="s">
        <v>1856</v>
      </c>
      <c r="N349" s="100" t="s">
        <v>1831</v>
      </c>
      <c r="O349" s="153" t="s">
        <v>1260</v>
      </c>
      <c r="P349" s="153" t="s">
        <v>1260</v>
      </c>
    </row>
    <row r="350" spans="3:16" ht="15.75" thickBot="1">
      <c r="C350" s="2"/>
      <c r="D350" s="13" t="s">
        <v>2176</v>
      </c>
      <c r="E350" s="14">
        <v>220</v>
      </c>
      <c r="F350" s="15">
        <v>300</v>
      </c>
      <c r="G350" s="14">
        <v>1246</v>
      </c>
      <c r="H350" s="28">
        <v>41</v>
      </c>
      <c r="I350" s="136">
        <v>45</v>
      </c>
      <c r="J350" s="27" t="s">
        <v>2161</v>
      </c>
      <c r="K350" s="28">
        <v>1480</v>
      </c>
      <c r="L350" s="28" t="s">
        <v>566</v>
      </c>
      <c r="M350" s="38" t="s">
        <v>1856</v>
      </c>
      <c r="N350" s="100" t="s">
        <v>1831</v>
      </c>
      <c r="O350" s="153" t="s">
        <v>1260</v>
      </c>
      <c r="P350" s="153" t="s">
        <v>1260</v>
      </c>
    </row>
    <row r="351" spans="3:16" ht="15.75" thickBot="1">
      <c r="C351" s="2"/>
      <c r="D351" s="13" t="s">
        <v>2177</v>
      </c>
      <c r="E351" s="14">
        <v>1250</v>
      </c>
      <c r="F351" s="15">
        <v>1680</v>
      </c>
      <c r="G351" s="14">
        <v>1880</v>
      </c>
      <c r="H351" s="28">
        <v>167</v>
      </c>
      <c r="I351" s="136">
        <v>184</v>
      </c>
      <c r="J351" s="27" t="s">
        <v>2161</v>
      </c>
      <c r="K351" s="28">
        <v>1480</v>
      </c>
      <c r="L351" s="28" t="s">
        <v>566</v>
      </c>
      <c r="M351" s="38" t="s">
        <v>1856</v>
      </c>
      <c r="N351" s="100" t="s">
        <v>2092</v>
      </c>
      <c r="O351" s="153" t="s">
        <v>1260</v>
      </c>
      <c r="P351" s="153" t="s">
        <v>1260</v>
      </c>
    </row>
    <row r="352" spans="3:16" ht="15.75" thickBot="1">
      <c r="C352" s="2"/>
      <c r="D352" s="13" t="s">
        <v>2178</v>
      </c>
      <c r="E352" s="14">
        <v>1120</v>
      </c>
      <c r="F352" s="15">
        <v>1500</v>
      </c>
      <c r="G352" s="14">
        <v>1767</v>
      </c>
      <c r="H352" s="28">
        <v>148</v>
      </c>
      <c r="I352" s="136">
        <v>163</v>
      </c>
      <c r="J352" s="27" t="s">
        <v>2161</v>
      </c>
      <c r="K352" s="28">
        <v>1480</v>
      </c>
      <c r="L352" s="28" t="s">
        <v>566</v>
      </c>
      <c r="M352" s="38" t="s">
        <v>1856</v>
      </c>
      <c r="N352" s="100" t="s">
        <v>2092</v>
      </c>
      <c r="O352" s="153" t="s">
        <v>1260</v>
      </c>
      <c r="P352" s="153" t="s">
        <v>1260</v>
      </c>
    </row>
    <row r="353" spans="3:16" ht="15.75" thickBot="1">
      <c r="C353" s="2"/>
      <c r="D353" s="13" t="s">
        <v>2179</v>
      </c>
      <c r="E353" s="14">
        <v>710</v>
      </c>
      <c r="F353" s="15">
        <v>950</v>
      </c>
      <c r="G353" s="14">
        <v>1636</v>
      </c>
      <c r="H353" s="28">
        <v>112</v>
      </c>
      <c r="I353" s="136">
        <v>123</v>
      </c>
      <c r="J353" s="27" t="s">
        <v>2161</v>
      </c>
      <c r="K353" s="28">
        <v>1480</v>
      </c>
      <c r="L353" s="28" t="s">
        <v>566</v>
      </c>
      <c r="M353" s="38" t="s">
        <v>1856</v>
      </c>
      <c r="N353" s="100" t="s">
        <v>2092</v>
      </c>
      <c r="O353" s="153" t="s">
        <v>1260</v>
      </c>
      <c r="P353" s="153" t="s">
        <v>1260</v>
      </c>
    </row>
    <row r="354" spans="3:16" ht="15.75" thickBot="1">
      <c r="C354" s="2"/>
      <c r="D354" s="13" t="s">
        <v>2180</v>
      </c>
      <c r="E354" s="14">
        <v>450</v>
      </c>
      <c r="F354" s="15">
        <v>600</v>
      </c>
      <c r="G354" s="14">
        <v>1504</v>
      </c>
      <c r="H354" s="28">
        <v>71</v>
      </c>
      <c r="I354" s="136">
        <v>79</v>
      </c>
      <c r="J354" s="27" t="s">
        <v>2161</v>
      </c>
      <c r="K354" s="28">
        <v>1480</v>
      </c>
      <c r="L354" s="28" t="s">
        <v>566</v>
      </c>
      <c r="M354" s="38" t="s">
        <v>1856</v>
      </c>
      <c r="N354" s="100" t="s">
        <v>2092</v>
      </c>
      <c r="O354" s="153" t="s">
        <v>1260</v>
      </c>
      <c r="P354" s="153" t="s">
        <v>1260</v>
      </c>
    </row>
    <row r="355" spans="3:16" ht="15.75" thickBot="1">
      <c r="C355" s="2"/>
      <c r="D355" s="13" t="s">
        <v>2181</v>
      </c>
      <c r="E355" s="14">
        <v>1000</v>
      </c>
      <c r="F355" s="15">
        <v>1350</v>
      </c>
      <c r="G355" s="14">
        <v>1610</v>
      </c>
      <c r="H355" s="28">
        <v>151</v>
      </c>
      <c r="I355" s="136">
        <v>166</v>
      </c>
      <c r="J355" s="27" t="s">
        <v>2161</v>
      </c>
      <c r="K355" s="28">
        <v>1480</v>
      </c>
      <c r="L355" s="28" t="s">
        <v>566</v>
      </c>
      <c r="M355" s="38" t="s">
        <v>1856</v>
      </c>
      <c r="N355" s="100" t="s">
        <v>2092</v>
      </c>
      <c r="O355" s="153" t="s">
        <v>1260</v>
      </c>
      <c r="P355" s="153" t="s">
        <v>1260</v>
      </c>
    </row>
    <row r="356" spans="3:16" ht="15.75" thickBot="1">
      <c r="C356" s="2"/>
      <c r="D356" s="13" t="s">
        <v>2182</v>
      </c>
      <c r="E356" s="14">
        <v>800</v>
      </c>
      <c r="F356" s="15">
        <v>1080</v>
      </c>
      <c r="G356" s="14">
        <v>1513</v>
      </c>
      <c r="H356" s="28">
        <v>133</v>
      </c>
      <c r="I356" s="136">
        <v>147</v>
      </c>
      <c r="J356" s="27" t="s">
        <v>2161</v>
      </c>
      <c r="K356" s="28">
        <v>1480</v>
      </c>
      <c r="L356" s="28" t="s">
        <v>566</v>
      </c>
      <c r="M356" s="38" t="s">
        <v>1856</v>
      </c>
      <c r="N356" s="100" t="s">
        <v>2092</v>
      </c>
      <c r="O356" s="153" t="s">
        <v>1260</v>
      </c>
      <c r="P356" s="153" t="s">
        <v>1260</v>
      </c>
    </row>
    <row r="357" spans="3:16" ht="15.75" thickBot="1">
      <c r="C357" s="2"/>
      <c r="D357" s="13" t="s">
        <v>2183</v>
      </c>
      <c r="E357" s="14">
        <v>630</v>
      </c>
      <c r="F357" s="15">
        <v>850</v>
      </c>
      <c r="G357" s="14">
        <v>1401</v>
      </c>
      <c r="H357" s="28">
        <v>101</v>
      </c>
      <c r="I357" s="136">
        <v>111</v>
      </c>
      <c r="J357" s="27" t="s">
        <v>2161</v>
      </c>
      <c r="K357" s="28">
        <v>1480</v>
      </c>
      <c r="L357" s="28" t="s">
        <v>566</v>
      </c>
      <c r="M357" s="38" t="s">
        <v>1856</v>
      </c>
      <c r="N357" s="100" t="s">
        <v>2092</v>
      </c>
      <c r="O357" s="153" t="s">
        <v>1260</v>
      </c>
      <c r="P357" s="153" t="s">
        <v>1260</v>
      </c>
    </row>
    <row r="358" spans="3:16" ht="15.75" thickBot="1">
      <c r="C358" s="2"/>
      <c r="D358" s="13" t="s">
        <v>2184</v>
      </c>
      <c r="E358" s="14">
        <v>355</v>
      </c>
      <c r="F358" s="15">
        <v>480</v>
      </c>
      <c r="G358" s="14">
        <v>1288</v>
      </c>
      <c r="H358" s="28">
        <v>65</v>
      </c>
      <c r="I358" s="136">
        <v>71</v>
      </c>
      <c r="J358" s="27" t="s">
        <v>2161</v>
      </c>
      <c r="K358" s="28">
        <v>1480</v>
      </c>
      <c r="L358" s="28" t="s">
        <v>566</v>
      </c>
      <c r="M358" s="38" t="s">
        <v>1856</v>
      </c>
      <c r="N358" s="100" t="s">
        <v>1831</v>
      </c>
      <c r="O358" s="153" t="s">
        <v>1260</v>
      </c>
      <c r="P358" s="153" t="s">
        <v>1260</v>
      </c>
    </row>
    <row r="359" spans="3:16" ht="15.75" thickBot="1">
      <c r="C359" s="2"/>
      <c r="D359" s="13" t="s">
        <v>2185</v>
      </c>
      <c r="E359" s="14">
        <v>75</v>
      </c>
      <c r="F359" s="15">
        <v>100</v>
      </c>
      <c r="G359" s="14">
        <v>1260</v>
      </c>
      <c r="H359" s="28">
        <v>16</v>
      </c>
      <c r="I359" s="136">
        <v>21</v>
      </c>
      <c r="J359" s="27" t="s">
        <v>2186</v>
      </c>
      <c r="K359" s="28">
        <v>1480</v>
      </c>
      <c r="L359" s="28" t="s">
        <v>566</v>
      </c>
      <c r="M359" s="38" t="s">
        <v>1830</v>
      </c>
      <c r="N359" s="100" t="s">
        <v>1831</v>
      </c>
      <c r="O359" s="153" t="s">
        <v>1260</v>
      </c>
      <c r="P359" s="153" t="s">
        <v>1260</v>
      </c>
    </row>
    <row r="360" spans="3:16" ht="15.75" thickBot="1">
      <c r="C360" s="2"/>
      <c r="D360" s="13" t="s">
        <v>2187</v>
      </c>
      <c r="E360" s="14">
        <v>75</v>
      </c>
      <c r="F360" s="15">
        <v>100</v>
      </c>
      <c r="G360" s="14">
        <v>1184</v>
      </c>
      <c r="H360" s="28">
        <v>14</v>
      </c>
      <c r="I360" s="136">
        <v>19</v>
      </c>
      <c r="J360" s="27" t="s">
        <v>2186</v>
      </c>
      <c r="K360" s="28">
        <v>1480</v>
      </c>
      <c r="L360" s="28" t="s">
        <v>566</v>
      </c>
      <c r="M360" s="38" t="s">
        <v>1830</v>
      </c>
      <c r="N360" s="100" t="s">
        <v>1831</v>
      </c>
      <c r="O360" s="153" t="s">
        <v>1260</v>
      </c>
      <c r="P360" s="153" t="s">
        <v>1260</v>
      </c>
    </row>
    <row r="361" spans="3:16" ht="15.75" thickBot="1">
      <c r="C361" s="2"/>
      <c r="D361" s="13" t="s">
        <v>2188</v>
      </c>
      <c r="E361" s="14">
        <v>55</v>
      </c>
      <c r="F361" s="15">
        <v>75</v>
      </c>
      <c r="G361" s="14">
        <v>1124</v>
      </c>
      <c r="H361" s="28">
        <v>11</v>
      </c>
      <c r="I361" s="136">
        <v>15</v>
      </c>
      <c r="J361" s="27" t="s">
        <v>2186</v>
      </c>
      <c r="K361" s="28">
        <v>1480</v>
      </c>
      <c r="L361" s="28" t="s">
        <v>566</v>
      </c>
      <c r="M361" s="38" t="s">
        <v>1830</v>
      </c>
      <c r="N361" s="100" t="s">
        <v>1831</v>
      </c>
      <c r="O361" s="153" t="s">
        <v>1260</v>
      </c>
      <c r="P361" s="153" t="s">
        <v>1260</v>
      </c>
    </row>
    <row r="362" spans="3:16" ht="15.75" thickBot="1">
      <c r="C362" s="2"/>
      <c r="D362" s="13" t="s">
        <v>2189</v>
      </c>
      <c r="E362" s="14">
        <v>55</v>
      </c>
      <c r="F362" s="15">
        <v>75</v>
      </c>
      <c r="G362" s="14">
        <v>1080</v>
      </c>
      <c r="H362" s="28">
        <v>14</v>
      </c>
      <c r="I362" s="136">
        <v>19</v>
      </c>
      <c r="J362" s="27" t="s">
        <v>2186</v>
      </c>
      <c r="K362" s="28">
        <v>1480</v>
      </c>
      <c r="L362" s="28" t="s">
        <v>566</v>
      </c>
      <c r="M362" s="38" t="s">
        <v>1830</v>
      </c>
      <c r="N362" s="100" t="s">
        <v>1831</v>
      </c>
      <c r="O362" s="153" t="s">
        <v>1260</v>
      </c>
      <c r="P362" s="153" t="s">
        <v>1260</v>
      </c>
    </row>
    <row r="363" spans="3:16" ht="15.75" thickBot="1">
      <c r="C363" s="2"/>
      <c r="D363" s="13" t="s">
        <v>2190</v>
      </c>
      <c r="E363" s="14">
        <v>55</v>
      </c>
      <c r="F363" s="15">
        <v>75</v>
      </c>
      <c r="G363" s="14">
        <v>1015</v>
      </c>
      <c r="H363" s="28">
        <v>13</v>
      </c>
      <c r="I363" s="136">
        <v>17</v>
      </c>
      <c r="J363" s="27" t="s">
        <v>2186</v>
      </c>
      <c r="K363" s="28">
        <v>1480</v>
      </c>
      <c r="L363" s="28" t="s">
        <v>566</v>
      </c>
      <c r="M363" s="38" t="s">
        <v>1830</v>
      </c>
      <c r="N363" s="100" t="s">
        <v>1831</v>
      </c>
      <c r="O363" s="153" t="s">
        <v>1260</v>
      </c>
      <c r="P363" s="153" t="s">
        <v>1260</v>
      </c>
    </row>
    <row r="364" spans="3:16" ht="15.75" thickBot="1">
      <c r="C364" s="2"/>
      <c r="D364" s="13" t="s">
        <v>2191</v>
      </c>
      <c r="E364" s="14">
        <v>45</v>
      </c>
      <c r="F364" s="15">
        <v>60</v>
      </c>
      <c r="G364" s="14">
        <v>964</v>
      </c>
      <c r="H364" s="28">
        <v>10</v>
      </c>
      <c r="I364" s="136">
        <v>13</v>
      </c>
      <c r="J364" s="27" t="s">
        <v>2186</v>
      </c>
      <c r="K364" s="28">
        <v>1480</v>
      </c>
      <c r="L364" s="28" t="s">
        <v>566</v>
      </c>
      <c r="M364" s="38" t="s">
        <v>1830</v>
      </c>
      <c r="N364" s="100" t="s">
        <v>1831</v>
      </c>
      <c r="O364" s="153" t="s">
        <v>1260</v>
      </c>
      <c r="P364" s="153" t="s">
        <v>1260</v>
      </c>
    </row>
    <row r="365" spans="3:16" ht="15.75" thickBot="1">
      <c r="C365" s="2"/>
      <c r="D365" s="13" t="s">
        <v>2192</v>
      </c>
      <c r="E365" s="14" t="s">
        <v>1102</v>
      </c>
      <c r="F365" s="15">
        <v>270</v>
      </c>
      <c r="G365" s="14">
        <v>1770</v>
      </c>
      <c r="H365" s="28">
        <v>33</v>
      </c>
      <c r="I365" s="136">
        <v>42</v>
      </c>
      <c r="J365" s="27" t="s">
        <v>2193</v>
      </c>
      <c r="K365" s="28" t="s">
        <v>2194</v>
      </c>
      <c r="L365" s="28" t="s">
        <v>566</v>
      </c>
      <c r="M365" s="38" t="s">
        <v>1830</v>
      </c>
      <c r="N365" s="100" t="s">
        <v>1831</v>
      </c>
      <c r="O365" s="153" t="s">
        <v>1260</v>
      </c>
      <c r="P365" s="153" t="s">
        <v>1260</v>
      </c>
    </row>
    <row r="366" spans="3:16" ht="15.75" thickBot="1">
      <c r="C366" s="2"/>
      <c r="D366" s="13" t="s">
        <v>2195</v>
      </c>
      <c r="E366" s="14" t="s">
        <v>2196</v>
      </c>
      <c r="F366" s="15">
        <v>250</v>
      </c>
      <c r="G366" s="14">
        <v>1664</v>
      </c>
      <c r="H366" s="28">
        <v>29</v>
      </c>
      <c r="I366" s="136">
        <v>37</v>
      </c>
      <c r="J366" s="27" t="s">
        <v>2193</v>
      </c>
      <c r="K366" s="28" t="s">
        <v>2194</v>
      </c>
      <c r="L366" s="28" t="s">
        <v>566</v>
      </c>
      <c r="M366" s="38" t="s">
        <v>1830</v>
      </c>
      <c r="N366" s="100" t="s">
        <v>1831</v>
      </c>
      <c r="O366" s="153" t="s">
        <v>1260</v>
      </c>
      <c r="P366" s="153" t="s">
        <v>1260</v>
      </c>
    </row>
    <row r="367" spans="3:16" ht="15.75" thickBot="1">
      <c r="C367" s="2"/>
      <c r="D367" s="13" t="s">
        <v>2197</v>
      </c>
      <c r="E367" s="14" t="s">
        <v>2198</v>
      </c>
      <c r="F367" s="15">
        <v>220</v>
      </c>
      <c r="G367" s="14">
        <v>1579</v>
      </c>
      <c r="H367" s="28">
        <v>23</v>
      </c>
      <c r="I367" s="136">
        <v>30</v>
      </c>
      <c r="J367" s="27" t="s">
        <v>2193</v>
      </c>
      <c r="K367" s="28" t="s">
        <v>2194</v>
      </c>
      <c r="L367" s="28" t="s">
        <v>566</v>
      </c>
      <c r="M367" s="38" t="s">
        <v>1830</v>
      </c>
      <c r="N367" s="100" t="s">
        <v>1831</v>
      </c>
      <c r="O367" s="153" t="s">
        <v>1260</v>
      </c>
      <c r="P367" s="153" t="s">
        <v>1260</v>
      </c>
    </row>
    <row r="368" spans="3:16" ht="15.75" thickBot="1">
      <c r="C368" s="2"/>
      <c r="D368" s="13" t="s">
        <v>2199</v>
      </c>
      <c r="E368" s="14" t="s">
        <v>2200</v>
      </c>
      <c r="F368" s="15">
        <v>125</v>
      </c>
      <c r="G368" s="14">
        <v>1492</v>
      </c>
      <c r="H368" s="28">
        <v>16</v>
      </c>
      <c r="I368" s="136">
        <v>21</v>
      </c>
      <c r="J368" s="27" t="s">
        <v>2193</v>
      </c>
      <c r="K368" s="28" t="s">
        <v>2194</v>
      </c>
      <c r="L368" s="28" t="s">
        <v>566</v>
      </c>
      <c r="M368" s="38" t="s">
        <v>1830</v>
      </c>
      <c r="N368" s="100" t="s">
        <v>1831</v>
      </c>
      <c r="O368" s="153" t="s">
        <v>1260</v>
      </c>
      <c r="P368" s="153" t="s">
        <v>1260</v>
      </c>
    </row>
    <row r="369" spans="3:16" ht="15.75" thickBot="1">
      <c r="C369" s="2"/>
      <c r="D369" s="13" t="s">
        <v>2201</v>
      </c>
      <c r="E369" s="14" t="s">
        <v>2196</v>
      </c>
      <c r="F369" s="15">
        <v>250</v>
      </c>
      <c r="G369" s="14">
        <v>1520</v>
      </c>
      <c r="H369" s="28">
        <v>30</v>
      </c>
      <c r="I369" s="136">
        <v>38</v>
      </c>
      <c r="J369" s="27" t="s">
        <v>2193</v>
      </c>
      <c r="K369" s="28" t="s">
        <v>2194</v>
      </c>
      <c r="L369" s="28" t="s">
        <v>566</v>
      </c>
      <c r="M369" s="38" t="s">
        <v>1830</v>
      </c>
      <c r="N369" s="100" t="s">
        <v>1831</v>
      </c>
      <c r="O369" s="153" t="s">
        <v>1260</v>
      </c>
      <c r="P369" s="153" t="s">
        <v>1260</v>
      </c>
    </row>
    <row r="370" spans="3:16" ht="15.75" thickBot="1">
      <c r="C370" s="2"/>
      <c r="D370" s="13" t="s">
        <v>2202</v>
      </c>
      <c r="E370" s="14" t="s">
        <v>2203</v>
      </c>
      <c r="F370" s="15">
        <v>180</v>
      </c>
      <c r="G370" s="14">
        <v>1429</v>
      </c>
      <c r="H370" s="28">
        <v>26</v>
      </c>
      <c r="I370" s="136">
        <v>33</v>
      </c>
      <c r="J370" s="27" t="s">
        <v>2193</v>
      </c>
      <c r="K370" s="28" t="s">
        <v>2194</v>
      </c>
      <c r="L370" s="28" t="s">
        <v>566</v>
      </c>
      <c r="M370" s="38" t="s">
        <v>1830</v>
      </c>
      <c r="N370" s="100" t="s">
        <v>1831</v>
      </c>
      <c r="O370" s="153" t="s">
        <v>1260</v>
      </c>
      <c r="P370" s="153" t="s">
        <v>1260</v>
      </c>
    </row>
    <row r="371" spans="3:16" ht="15.75" thickBot="1">
      <c r="C371" s="2"/>
      <c r="D371" s="13" t="s">
        <v>2204</v>
      </c>
      <c r="E371" s="14" t="s">
        <v>2205</v>
      </c>
      <c r="F371" s="15">
        <v>150</v>
      </c>
      <c r="G371" s="14">
        <v>1356</v>
      </c>
      <c r="H371" s="28">
        <v>21</v>
      </c>
      <c r="I371" s="136">
        <v>27</v>
      </c>
      <c r="J371" s="27" t="s">
        <v>2193</v>
      </c>
      <c r="K371" s="28" t="s">
        <v>2194</v>
      </c>
      <c r="L371" s="28" t="s">
        <v>566</v>
      </c>
      <c r="M371" s="38" t="s">
        <v>1830</v>
      </c>
      <c r="N371" s="100" t="s">
        <v>1831</v>
      </c>
      <c r="O371" s="153" t="s">
        <v>1260</v>
      </c>
      <c r="P371" s="153" t="s">
        <v>1260</v>
      </c>
    </row>
    <row r="372" spans="3:16" ht="15.75" thickBot="1">
      <c r="C372" s="2"/>
      <c r="D372" s="13" t="s">
        <v>2206</v>
      </c>
      <c r="E372" s="14" t="s">
        <v>2207</v>
      </c>
      <c r="F372" s="15">
        <v>100</v>
      </c>
      <c r="G372" s="14">
        <v>1281</v>
      </c>
      <c r="H372" s="28">
        <v>15</v>
      </c>
      <c r="I372" s="136">
        <v>19</v>
      </c>
      <c r="J372" s="27" t="s">
        <v>2193</v>
      </c>
      <c r="K372" s="28" t="s">
        <v>2194</v>
      </c>
      <c r="L372" s="28" t="s">
        <v>566</v>
      </c>
      <c r="M372" s="38" t="s">
        <v>1830</v>
      </c>
      <c r="N372" s="100" t="s">
        <v>1831</v>
      </c>
      <c r="O372" s="153" t="s">
        <v>1260</v>
      </c>
      <c r="P372" s="153" t="s">
        <v>1260</v>
      </c>
    </row>
    <row r="373" spans="3:16" ht="15.75" thickBot="1">
      <c r="C373" s="2"/>
      <c r="D373" s="13" t="s">
        <v>2208</v>
      </c>
      <c r="E373" s="14" t="s">
        <v>2209</v>
      </c>
      <c r="F373" s="15">
        <v>670</v>
      </c>
      <c r="G373" s="14">
        <v>2850</v>
      </c>
      <c r="H373" s="28">
        <v>49</v>
      </c>
      <c r="I373" s="136">
        <v>57</v>
      </c>
      <c r="J373" s="27" t="s">
        <v>2210</v>
      </c>
      <c r="K373" s="28" t="s">
        <v>2194</v>
      </c>
      <c r="L373" s="28" t="s">
        <v>566</v>
      </c>
      <c r="M373" s="38" t="s">
        <v>1830</v>
      </c>
      <c r="N373" s="100" t="s">
        <v>2092</v>
      </c>
      <c r="O373" s="153" t="s">
        <v>1260</v>
      </c>
      <c r="P373" s="153" t="s">
        <v>1260</v>
      </c>
    </row>
    <row r="374" spans="3:16" ht="15.75" thickBot="1">
      <c r="C374" s="2"/>
      <c r="D374" s="13" t="s">
        <v>2211</v>
      </c>
      <c r="E374" s="14" t="s">
        <v>2212</v>
      </c>
      <c r="F374" s="15">
        <v>600</v>
      </c>
      <c r="G374" s="14">
        <v>2679</v>
      </c>
      <c r="H374" s="28">
        <v>43</v>
      </c>
      <c r="I374" s="136">
        <v>50</v>
      </c>
      <c r="J374" s="27" t="s">
        <v>2210</v>
      </c>
      <c r="K374" s="28" t="s">
        <v>2194</v>
      </c>
      <c r="L374" s="28" t="s">
        <v>566</v>
      </c>
      <c r="M374" s="38" t="s">
        <v>1830</v>
      </c>
      <c r="N374" s="100" t="s">
        <v>2092</v>
      </c>
      <c r="O374" s="153" t="s">
        <v>1260</v>
      </c>
      <c r="P374" s="153" t="s">
        <v>1260</v>
      </c>
    </row>
    <row r="375" spans="3:16" ht="15.75" thickBot="1">
      <c r="C375" s="2"/>
      <c r="D375" s="13" t="s">
        <v>2213</v>
      </c>
      <c r="E375" s="14" t="s">
        <v>2214</v>
      </c>
      <c r="F375" s="15">
        <v>480</v>
      </c>
      <c r="G375" s="14">
        <v>2542</v>
      </c>
      <c r="H375" s="28">
        <v>34</v>
      </c>
      <c r="I375" s="136">
        <v>40</v>
      </c>
      <c r="J375" s="27" t="s">
        <v>2210</v>
      </c>
      <c r="K375" s="28" t="s">
        <v>2194</v>
      </c>
      <c r="L375" s="28" t="s">
        <v>566</v>
      </c>
      <c r="M375" s="38" t="s">
        <v>1830</v>
      </c>
      <c r="N375" s="100" t="s">
        <v>1831</v>
      </c>
      <c r="O375" s="153" t="s">
        <v>1260</v>
      </c>
      <c r="P375" s="153" t="s">
        <v>1260</v>
      </c>
    </row>
    <row r="376" spans="3:16" ht="15.75" thickBot="1">
      <c r="C376" s="2"/>
      <c r="D376" s="13" t="s">
        <v>2215</v>
      </c>
      <c r="E376" s="14" t="s">
        <v>2216</v>
      </c>
      <c r="F376" s="15">
        <v>300</v>
      </c>
      <c r="G376" s="14">
        <v>2403</v>
      </c>
      <c r="H376" s="28">
        <v>24</v>
      </c>
      <c r="I376" s="136">
        <v>28</v>
      </c>
      <c r="J376" s="27" t="s">
        <v>2210</v>
      </c>
      <c r="K376" s="28" t="s">
        <v>2194</v>
      </c>
      <c r="L376" s="28" t="s">
        <v>566</v>
      </c>
      <c r="M376" s="38" t="s">
        <v>1830</v>
      </c>
      <c r="N376" s="100" t="s">
        <v>1831</v>
      </c>
      <c r="O376" s="153" t="s">
        <v>1260</v>
      </c>
      <c r="P376" s="153" t="s">
        <v>1260</v>
      </c>
    </row>
    <row r="377" spans="3:16" ht="15.75" thickBot="1">
      <c r="C377" s="2"/>
      <c r="D377" s="13" t="s">
        <v>2217</v>
      </c>
      <c r="E377" s="14" t="s">
        <v>2218</v>
      </c>
      <c r="F377" s="15">
        <v>540</v>
      </c>
      <c r="G377" s="14">
        <v>2445</v>
      </c>
      <c r="H377" s="28">
        <v>44</v>
      </c>
      <c r="I377" s="136">
        <v>51</v>
      </c>
      <c r="J377" s="27" t="s">
        <v>2210</v>
      </c>
      <c r="K377" s="28" t="s">
        <v>2194</v>
      </c>
      <c r="L377" s="28" t="s">
        <v>566</v>
      </c>
      <c r="M377" s="38" t="s">
        <v>1830</v>
      </c>
      <c r="N377" s="100" t="s">
        <v>2092</v>
      </c>
      <c r="O377" s="153" t="s">
        <v>1260</v>
      </c>
      <c r="P377" s="153" t="s">
        <v>1260</v>
      </c>
    </row>
    <row r="378" spans="3:16" ht="15.75" thickBot="1">
      <c r="C378" s="2"/>
      <c r="D378" s="13" t="s">
        <v>2219</v>
      </c>
      <c r="E378" s="14" t="s">
        <v>2214</v>
      </c>
      <c r="F378" s="15">
        <v>480</v>
      </c>
      <c r="G378" s="14">
        <v>2298</v>
      </c>
      <c r="H378" s="28">
        <v>39</v>
      </c>
      <c r="I378" s="136">
        <v>45</v>
      </c>
      <c r="J378" s="27" t="s">
        <v>2210</v>
      </c>
      <c r="K378" s="28" t="s">
        <v>2194</v>
      </c>
      <c r="L378" s="28" t="s">
        <v>566</v>
      </c>
      <c r="M378" s="38" t="s">
        <v>1830</v>
      </c>
      <c r="N378" s="100" t="s">
        <v>1831</v>
      </c>
      <c r="O378" s="153" t="s">
        <v>1260</v>
      </c>
      <c r="P378" s="153" t="s">
        <v>1260</v>
      </c>
    </row>
    <row r="379" spans="3:16" ht="15.75" thickBot="1">
      <c r="C379" s="2"/>
      <c r="D379" s="13" t="s">
        <v>2220</v>
      </c>
      <c r="E379" s="14" t="s">
        <v>848</v>
      </c>
      <c r="F379" s="15">
        <v>340</v>
      </c>
      <c r="G379" s="14">
        <v>2181</v>
      </c>
      <c r="H379" s="28">
        <v>31</v>
      </c>
      <c r="I379" s="136">
        <v>36</v>
      </c>
      <c r="J379" s="27" t="s">
        <v>2210</v>
      </c>
      <c r="K379" s="28" t="s">
        <v>2194</v>
      </c>
      <c r="L379" s="28" t="s">
        <v>566</v>
      </c>
      <c r="M379" s="38" t="s">
        <v>1830</v>
      </c>
      <c r="N379" s="100" t="s">
        <v>1831</v>
      </c>
      <c r="O379" s="153" t="s">
        <v>1260</v>
      </c>
      <c r="P379" s="153" t="s">
        <v>1260</v>
      </c>
    </row>
    <row r="380" spans="3:16" ht="15.75" thickBot="1">
      <c r="C380" s="2"/>
      <c r="D380" s="13" t="s">
        <v>2221</v>
      </c>
      <c r="E380" s="14" t="s">
        <v>2196</v>
      </c>
      <c r="F380" s="15">
        <v>250</v>
      </c>
      <c r="G380" s="14">
        <v>2061</v>
      </c>
      <c r="H380" s="28">
        <v>22</v>
      </c>
      <c r="I380" s="136">
        <v>25</v>
      </c>
      <c r="J380" s="27" t="s">
        <v>2210</v>
      </c>
      <c r="K380" s="28" t="s">
        <v>2194</v>
      </c>
      <c r="L380" s="28" t="s">
        <v>566</v>
      </c>
      <c r="M380" s="38" t="s">
        <v>1830</v>
      </c>
      <c r="N380" s="100" t="s">
        <v>1831</v>
      </c>
      <c r="O380" s="153" t="s">
        <v>1260</v>
      </c>
      <c r="P380" s="153" t="s">
        <v>1260</v>
      </c>
    </row>
    <row r="381" spans="3:16" ht="15.75" thickBot="1">
      <c r="C381" s="2"/>
      <c r="D381" s="13" t="s">
        <v>2222</v>
      </c>
      <c r="E381" s="14" t="s">
        <v>2223</v>
      </c>
      <c r="F381" s="15">
        <v>1080</v>
      </c>
      <c r="G381" s="14">
        <v>2830</v>
      </c>
      <c r="H381" s="28">
        <v>76</v>
      </c>
      <c r="I381" s="136">
        <v>89</v>
      </c>
      <c r="J381" s="27" t="s">
        <v>2210</v>
      </c>
      <c r="K381" s="28" t="s">
        <v>2194</v>
      </c>
      <c r="L381" s="28" t="s">
        <v>566</v>
      </c>
      <c r="M381" s="38" t="s">
        <v>1830</v>
      </c>
      <c r="N381" s="100" t="s">
        <v>2092</v>
      </c>
      <c r="O381" s="153" t="s">
        <v>1260</v>
      </c>
      <c r="P381" s="153" t="s">
        <v>1260</v>
      </c>
    </row>
    <row r="382" spans="3:16" ht="15.75" thickBot="1">
      <c r="C382" s="2"/>
      <c r="D382" s="13" t="s">
        <v>2224</v>
      </c>
      <c r="E382" s="14" t="s">
        <v>2225</v>
      </c>
      <c r="F382" s="15">
        <v>950</v>
      </c>
      <c r="G382" s="14">
        <v>2660</v>
      </c>
      <c r="H382" s="28">
        <v>67</v>
      </c>
      <c r="I382" s="136">
        <v>79</v>
      </c>
      <c r="J382" s="27" t="s">
        <v>2210</v>
      </c>
      <c r="K382" s="28" t="s">
        <v>2194</v>
      </c>
      <c r="L382" s="28" t="s">
        <v>566</v>
      </c>
      <c r="M382" s="38" t="s">
        <v>1830</v>
      </c>
      <c r="N382" s="100" t="s">
        <v>2092</v>
      </c>
      <c r="O382" s="153" t="s">
        <v>1260</v>
      </c>
      <c r="P382" s="153" t="s">
        <v>1260</v>
      </c>
    </row>
    <row r="383" spans="3:16" ht="15.75" thickBot="1">
      <c r="C383" s="2"/>
      <c r="D383" s="13" t="s">
        <v>2226</v>
      </c>
      <c r="E383" s="14" t="s">
        <v>2209</v>
      </c>
      <c r="F383" s="15">
        <v>670</v>
      </c>
      <c r="G383" s="14">
        <v>2490</v>
      </c>
      <c r="H383" s="28">
        <v>52</v>
      </c>
      <c r="I383" s="136">
        <v>61</v>
      </c>
      <c r="J383" s="27" t="s">
        <v>2210</v>
      </c>
      <c r="K383" s="28" t="s">
        <v>2194</v>
      </c>
      <c r="L383" s="28" t="s">
        <v>566</v>
      </c>
      <c r="M383" s="38" t="s">
        <v>1830</v>
      </c>
      <c r="N383" s="100" t="s">
        <v>2092</v>
      </c>
      <c r="O383" s="153" t="s">
        <v>1260</v>
      </c>
      <c r="P383" s="153" t="s">
        <v>1260</v>
      </c>
    </row>
    <row r="384" spans="3:16" ht="15.75" thickBot="1">
      <c r="C384" s="2"/>
      <c r="D384" s="13" t="s">
        <v>2227</v>
      </c>
      <c r="E384" s="14" t="s">
        <v>2228</v>
      </c>
      <c r="F384" s="15">
        <v>430</v>
      </c>
      <c r="G384" s="14">
        <v>2318</v>
      </c>
      <c r="H384" s="28">
        <v>35</v>
      </c>
      <c r="I384" s="136">
        <v>41</v>
      </c>
      <c r="J384" s="27" t="s">
        <v>2210</v>
      </c>
      <c r="K384" s="28" t="s">
        <v>2194</v>
      </c>
      <c r="L384" s="28" t="s">
        <v>566</v>
      </c>
      <c r="M384" s="38" t="s">
        <v>1830</v>
      </c>
      <c r="N384" s="100" t="s">
        <v>1831</v>
      </c>
      <c r="O384" s="153" t="s">
        <v>1260</v>
      </c>
      <c r="P384" s="153" t="s">
        <v>1260</v>
      </c>
    </row>
    <row r="385" spans="3:16" ht="15.75" thickBot="1">
      <c r="C385" s="2"/>
      <c r="D385" s="13" t="s">
        <v>2229</v>
      </c>
      <c r="E385" s="14" t="s">
        <v>2230</v>
      </c>
      <c r="F385" s="15">
        <v>850</v>
      </c>
      <c r="G385" s="14">
        <v>2420</v>
      </c>
      <c r="H385" s="28">
        <v>69</v>
      </c>
      <c r="I385" s="136">
        <v>80</v>
      </c>
      <c r="J385" s="27" t="s">
        <v>2210</v>
      </c>
      <c r="K385" s="28" t="s">
        <v>2194</v>
      </c>
      <c r="L385" s="28" t="s">
        <v>566</v>
      </c>
      <c r="M385" s="38" t="s">
        <v>1830</v>
      </c>
      <c r="N385" s="100" t="s">
        <v>2092</v>
      </c>
      <c r="O385" s="153" t="s">
        <v>1260</v>
      </c>
      <c r="P385" s="153" t="s">
        <v>1260</v>
      </c>
    </row>
    <row r="386" spans="3:16" ht="15.75" thickBot="1">
      <c r="C386" s="2"/>
      <c r="D386" s="13" t="s">
        <v>2231</v>
      </c>
      <c r="E386" s="14" t="s">
        <v>2232</v>
      </c>
      <c r="F386" s="15">
        <v>750</v>
      </c>
      <c r="G386" s="14">
        <v>2275</v>
      </c>
      <c r="H386" s="28">
        <v>61</v>
      </c>
      <c r="I386" s="136">
        <v>71</v>
      </c>
      <c r="J386" s="27" t="s">
        <v>2210</v>
      </c>
      <c r="K386" s="28" t="s">
        <v>2194</v>
      </c>
      <c r="L386" s="28" t="s">
        <v>566</v>
      </c>
      <c r="M386" s="38" t="s">
        <v>1830</v>
      </c>
      <c r="N386" s="100" t="s">
        <v>2092</v>
      </c>
      <c r="O386" s="153" t="s">
        <v>1260</v>
      </c>
      <c r="P386" s="153" t="s">
        <v>1260</v>
      </c>
    </row>
    <row r="387" spans="3:16" ht="15.75" thickBot="1">
      <c r="C387" s="2"/>
      <c r="D387" s="13" t="s">
        <v>2233</v>
      </c>
      <c r="E387" s="14" t="s">
        <v>2218</v>
      </c>
      <c r="F387" s="15">
        <v>540</v>
      </c>
      <c r="G387" s="14">
        <v>2130</v>
      </c>
      <c r="H387" s="28">
        <v>47</v>
      </c>
      <c r="I387" s="136">
        <v>55</v>
      </c>
      <c r="J387" s="27" t="s">
        <v>2210</v>
      </c>
      <c r="K387" s="28" t="s">
        <v>2194</v>
      </c>
      <c r="L387" s="28" t="s">
        <v>566</v>
      </c>
      <c r="M387" s="38" t="s">
        <v>1830</v>
      </c>
      <c r="N387" s="100" t="s">
        <v>2092</v>
      </c>
      <c r="O387" s="153" t="s">
        <v>1260</v>
      </c>
      <c r="P387" s="153" t="s">
        <v>1260</v>
      </c>
    </row>
    <row r="388" spans="3:16" ht="15.75" thickBot="1">
      <c r="C388" s="2"/>
      <c r="D388" s="13" t="s">
        <v>2234</v>
      </c>
      <c r="E388" s="14" t="s">
        <v>848</v>
      </c>
      <c r="F388" s="15">
        <v>340</v>
      </c>
      <c r="G388" s="14">
        <v>1982</v>
      </c>
      <c r="H388" s="28">
        <v>32</v>
      </c>
      <c r="I388" s="136">
        <v>37</v>
      </c>
      <c r="J388" s="27" t="s">
        <v>2210</v>
      </c>
      <c r="K388" s="28" t="s">
        <v>2194</v>
      </c>
      <c r="L388" s="28" t="s">
        <v>566</v>
      </c>
      <c r="M388" s="38" t="s">
        <v>1830</v>
      </c>
      <c r="N388" s="100" t="s">
        <v>1831</v>
      </c>
      <c r="O388" s="153" t="s">
        <v>1260</v>
      </c>
      <c r="P388" s="153" t="s">
        <v>1260</v>
      </c>
    </row>
    <row r="389" spans="3:16" ht="15.75" thickBot="1">
      <c r="C389" s="2"/>
      <c r="D389" s="13" t="s">
        <v>2235</v>
      </c>
      <c r="E389" s="14" t="s">
        <v>2212</v>
      </c>
      <c r="F389" s="15">
        <v>600</v>
      </c>
      <c r="G389" s="14">
        <v>2020</v>
      </c>
      <c r="H389" s="28">
        <v>60</v>
      </c>
      <c r="I389" s="136">
        <v>69</v>
      </c>
      <c r="J389" s="27" t="s">
        <v>2236</v>
      </c>
      <c r="K389" s="28" t="s">
        <v>2237</v>
      </c>
      <c r="L389" s="28" t="s">
        <v>566</v>
      </c>
      <c r="M389" s="38" t="s">
        <v>1830</v>
      </c>
      <c r="N389" s="100" t="s">
        <v>2092</v>
      </c>
      <c r="O389" s="153" t="s">
        <v>1260</v>
      </c>
      <c r="P389" s="153" t="s">
        <v>1260</v>
      </c>
    </row>
    <row r="390" spans="3:16" ht="15.75" thickBot="1">
      <c r="C390" s="2"/>
      <c r="D390" s="13" t="s">
        <v>2238</v>
      </c>
      <c r="E390" s="14" t="s">
        <v>2218</v>
      </c>
      <c r="F390" s="15">
        <v>540</v>
      </c>
      <c r="G390" s="14">
        <v>1899</v>
      </c>
      <c r="H390" s="28">
        <v>53</v>
      </c>
      <c r="I390" s="136">
        <v>61</v>
      </c>
      <c r="J390" s="27" t="s">
        <v>2236</v>
      </c>
      <c r="K390" s="28" t="s">
        <v>2237</v>
      </c>
      <c r="L390" s="28" t="s">
        <v>566</v>
      </c>
      <c r="M390" s="38" t="s">
        <v>1830</v>
      </c>
      <c r="N390" s="100" t="s">
        <v>2092</v>
      </c>
      <c r="O390" s="153" t="s">
        <v>1260</v>
      </c>
      <c r="P390" s="153" t="s">
        <v>1260</v>
      </c>
    </row>
    <row r="391" spans="3:16" ht="15.75" thickBot="1">
      <c r="C391" s="2"/>
      <c r="D391" s="13" t="s">
        <v>2239</v>
      </c>
      <c r="E391" s="14" t="s">
        <v>2240</v>
      </c>
      <c r="F391" s="15">
        <v>380</v>
      </c>
      <c r="G391" s="14">
        <v>1778</v>
      </c>
      <c r="H391" s="28">
        <v>41</v>
      </c>
      <c r="I391" s="136">
        <v>47</v>
      </c>
      <c r="J391" s="27" t="s">
        <v>2236</v>
      </c>
      <c r="K391" s="28" t="s">
        <v>2237</v>
      </c>
      <c r="L391" s="28" t="s">
        <v>566</v>
      </c>
      <c r="M391" s="38" t="s">
        <v>1830</v>
      </c>
      <c r="N391" s="100" t="s">
        <v>1831</v>
      </c>
      <c r="O391" s="153" t="s">
        <v>1260</v>
      </c>
      <c r="P391" s="153" t="s">
        <v>1260</v>
      </c>
    </row>
    <row r="392" spans="3:16" ht="15.75" thickBot="1">
      <c r="C392" s="2"/>
      <c r="D392" s="13" t="s">
        <v>2241</v>
      </c>
      <c r="E392" s="14" t="s">
        <v>2196</v>
      </c>
      <c r="F392" s="15">
        <v>250</v>
      </c>
      <c r="G392" s="14">
        <v>1656</v>
      </c>
      <c r="H392" s="28">
        <v>28</v>
      </c>
      <c r="I392" s="136">
        <v>32</v>
      </c>
      <c r="J392" s="27" t="s">
        <v>2236</v>
      </c>
      <c r="K392" s="28" t="s">
        <v>2237</v>
      </c>
      <c r="L392" s="28" t="s">
        <v>566</v>
      </c>
      <c r="M392" s="38" t="s">
        <v>1830</v>
      </c>
      <c r="N392" s="100" t="s">
        <v>1831</v>
      </c>
      <c r="O392" s="153" t="s">
        <v>1260</v>
      </c>
      <c r="P392" s="153" t="s">
        <v>1260</v>
      </c>
    </row>
    <row r="393" spans="3:16" ht="15.75" thickBot="1">
      <c r="C393" s="2"/>
      <c r="D393" s="13" t="s">
        <v>2242</v>
      </c>
      <c r="E393" s="14" t="s">
        <v>2214</v>
      </c>
      <c r="F393" s="15">
        <v>480</v>
      </c>
      <c r="G393" s="14">
        <v>1720</v>
      </c>
      <c r="H393" s="28">
        <v>54</v>
      </c>
      <c r="I393" s="136">
        <v>62</v>
      </c>
      <c r="J393" s="27" t="s">
        <v>2236</v>
      </c>
      <c r="K393" s="28" t="s">
        <v>2237</v>
      </c>
      <c r="L393" s="28" t="s">
        <v>566</v>
      </c>
      <c r="M393" s="38" t="s">
        <v>1830</v>
      </c>
      <c r="N393" s="100" t="s">
        <v>2092</v>
      </c>
      <c r="O393" s="153" t="s">
        <v>1260</v>
      </c>
      <c r="P393" s="153" t="s">
        <v>1260</v>
      </c>
    </row>
    <row r="394" spans="3:16" ht="15.75" thickBot="1">
      <c r="C394" s="2"/>
      <c r="D394" s="13" t="s">
        <v>2243</v>
      </c>
      <c r="E394" s="14" t="s">
        <v>2228</v>
      </c>
      <c r="F394" s="15">
        <v>430</v>
      </c>
      <c r="G394" s="14">
        <v>1617</v>
      </c>
      <c r="H394" s="28">
        <v>48</v>
      </c>
      <c r="I394" s="136">
        <v>55</v>
      </c>
      <c r="J394" s="27" t="s">
        <v>2236</v>
      </c>
      <c r="K394" s="28" t="s">
        <v>2237</v>
      </c>
      <c r="L394" s="28" t="s">
        <v>566</v>
      </c>
      <c r="M394" s="38" t="s">
        <v>1830</v>
      </c>
      <c r="N394" s="100" t="s">
        <v>2092</v>
      </c>
      <c r="O394" s="153" t="s">
        <v>1260</v>
      </c>
      <c r="P394" s="153" t="s">
        <v>1260</v>
      </c>
    </row>
    <row r="395" spans="3:16" ht="15.75" thickBot="1">
      <c r="C395" s="2"/>
      <c r="D395" s="13" t="s">
        <v>2244</v>
      </c>
      <c r="E395" s="14" t="s">
        <v>2216</v>
      </c>
      <c r="F395" s="15">
        <v>300</v>
      </c>
      <c r="G395" s="14">
        <v>1514</v>
      </c>
      <c r="H395" s="28">
        <v>37</v>
      </c>
      <c r="I395" s="136">
        <v>42</v>
      </c>
      <c r="J395" s="27" t="s">
        <v>2236</v>
      </c>
      <c r="K395" s="28" t="s">
        <v>2237</v>
      </c>
      <c r="L395" s="28" t="s">
        <v>566</v>
      </c>
      <c r="M395" s="38" t="s">
        <v>1830</v>
      </c>
      <c r="N395" s="100" t="s">
        <v>1831</v>
      </c>
      <c r="O395" s="153" t="s">
        <v>1260</v>
      </c>
      <c r="P395" s="153" t="s">
        <v>1260</v>
      </c>
    </row>
    <row r="396" spans="3:16" ht="15.75" thickBot="1">
      <c r="C396" s="2"/>
      <c r="D396" s="13" t="s">
        <v>2245</v>
      </c>
      <c r="E396" s="14" t="s">
        <v>2198</v>
      </c>
      <c r="F396" s="15">
        <v>220</v>
      </c>
      <c r="G396" s="14">
        <v>1410</v>
      </c>
      <c r="H396" s="28">
        <v>25</v>
      </c>
      <c r="I396" s="136">
        <v>29</v>
      </c>
      <c r="J396" s="27" t="s">
        <v>2236</v>
      </c>
      <c r="K396" s="28" t="s">
        <v>2237</v>
      </c>
      <c r="L396" s="28" t="s">
        <v>566</v>
      </c>
      <c r="M396" s="38" t="s">
        <v>1830</v>
      </c>
      <c r="N396" s="100" t="s">
        <v>1831</v>
      </c>
      <c r="O396" s="153" t="s">
        <v>1260</v>
      </c>
      <c r="P396" s="153" t="s">
        <v>1260</v>
      </c>
    </row>
    <row r="397" spans="3:16" ht="15.75" thickBot="1">
      <c r="C397" s="2"/>
      <c r="D397" s="13" t="s">
        <v>2246</v>
      </c>
      <c r="E397" s="14" t="s">
        <v>2247</v>
      </c>
      <c r="F397" s="15">
        <v>2150</v>
      </c>
      <c r="G397" s="14">
        <v>2520</v>
      </c>
      <c r="H397" s="28">
        <v>155</v>
      </c>
      <c r="I397" s="136">
        <v>175</v>
      </c>
      <c r="J397" s="27" t="s">
        <v>2193</v>
      </c>
      <c r="K397" s="28" t="s">
        <v>2194</v>
      </c>
      <c r="L397" s="28" t="s">
        <v>566</v>
      </c>
      <c r="M397" s="38" t="s">
        <v>1856</v>
      </c>
      <c r="N397" s="100" t="s">
        <v>2092</v>
      </c>
      <c r="O397" s="153" t="s">
        <v>1260</v>
      </c>
      <c r="P397" s="153" t="s">
        <v>1260</v>
      </c>
    </row>
    <row r="398" spans="3:16" ht="15.75" thickBot="1">
      <c r="C398" s="2"/>
      <c r="D398" s="13" t="s">
        <v>2248</v>
      </c>
      <c r="E398" s="14" t="s">
        <v>2249</v>
      </c>
      <c r="F398" s="15">
        <v>1680</v>
      </c>
      <c r="G398" s="14">
        <v>2369</v>
      </c>
      <c r="H398" s="28">
        <v>137</v>
      </c>
      <c r="I398" s="136">
        <v>155</v>
      </c>
      <c r="J398" s="27" t="s">
        <v>2193</v>
      </c>
      <c r="K398" s="28" t="s">
        <v>2194</v>
      </c>
      <c r="L398" s="28" t="s">
        <v>566</v>
      </c>
      <c r="M398" s="38" t="s">
        <v>1856</v>
      </c>
      <c r="N398" s="100" t="s">
        <v>2092</v>
      </c>
      <c r="O398" s="153" t="s">
        <v>1260</v>
      </c>
      <c r="P398" s="153" t="s">
        <v>1260</v>
      </c>
    </row>
    <row r="399" spans="3:16" ht="15.75" thickBot="1">
      <c r="C399" s="2"/>
      <c r="D399" s="13" t="s">
        <v>2250</v>
      </c>
      <c r="E399" s="14" t="s">
        <v>2251</v>
      </c>
      <c r="F399" s="15">
        <v>1200</v>
      </c>
      <c r="G399" s="14">
        <v>2192</v>
      </c>
      <c r="H399" s="28">
        <v>104</v>
      </c>
      <c r="I399" s="136">
        <v>117</v>
      </c>
      <c r="J399" s="27" t="s">
        <v>2193</v>
      </c>
      <c r="K399" s="28" t="s">
        <v>2194</v>
      </c>
      <c r="L399" s="28" t="s">
        <v>566</v>
      </c>
      <c r="M399" s="38" t="s">
        <v>1856</v>
      </c>
      <c r="N399" s="100" t="s">
        <v>2092</v>
      </c>
      <c r="O399" s="153" t="s">
        <v>1260</v>
      </c>
      <c r="P399" s="153" t="s">
        <v>1260</v>
      </c>
    </row>
    <row r="400" spans="3:16" ht="15.75" thickBot="1">
      <c r="C400" s="2"/>
      <c r="D400" s="13" t="s">
        <v>2252</v>
      </c>
      <c r="E400" s="14" t="s">
        <v>2232</v>
      </c>
      <c r="F400" s="15">
        <v>750</v>
      </c>
      <c r="G400" s="14">
        <v>2016</v>
      </c>
      <c r="H400" s="28">
        <v>66</v>
      </c>
      <c r="I400" s="136">
        <v>75</v>
      </c>
      <c r="J400" s="27" t="s">
        <v>2193</v>
      </c>
      <c r="K400" s="28" t="s">
        <v>2194</v>
      </c>
      <c r="L400" s="28" t="s">
        <v>566</v>
      </c>
      <c r="M400" s="38" t="s">
        <v>1856</v>
      </c>
      <c r="N400" s="100" t="s">
        <v>2092</v>
      </c>
      <c r="O400" s="153" t="s">
        <v>1260</v>
      </c>
      <c r="P400" s="153" t="s">
        <v>1260</v>
      </c>
    </row>
    <row r="401" spans="3:16" ht="15.75" thickBot="1">
      <c r="C401" s="2"/>
      <c r="D401" s="13" t="s">
        <v>2253</v>
      </c>
      <c r="E401" s="14" t="s">
        <v>2249</v>
      </c>
      <c r="F401" s="15">
        <v>1680</v>
      </c>
      <c r="G401" s="14">
        <v>2160</v>
      </c>
      <c r="H401" s="28">
        <v>140</v>
      </c>
      <c r="I401" s="136">
        <v>158</v>
      </c>
      <c r="J401" s="27" t="s">
        <v>2193</v>
      </c>
      <c r="K401" s="28" t="s">
        <v>2194</v>
      </c>
      <c r="L401" s="28" t="s">
        <v>566</v>
      </c>
      <c r="M401" s="38" t="s">
        <v>1856</v>
      </c>
      <c r="N401" s="100" t="s">
        <v>2092</v>
      </c>
      <c r="O401" s="153" t="s">
        <v>1260</v>
      </c>
      <c r="P401" s="153" t="s">
        <v>1260</v>
      </c>
    </row>
    <row r="402" spans="3:16" ht="15.75" thickBot="1">
      <c r="C402" s="2"/>
      <c r="D402" s="13" t="s">
        <v>2254</v>
      </c>
      <c r="E402" s="14" t="s">
        <v>2255</v>
      </c>
      <c r="F402" s="15">
        <v>1350</v>
      </c>
      <c r="G402" s="14">
        <v>2030</v>
      </c>
      <c r="H402" s="28">
        <v>124</v>
      </c>
      <c r="I402" s="136">
        <v>140</v>
      </c>
      <c r="J402" s="27" t="s">
        <v>2193</v>
      </c>
      <c r="K402" s="28" t="s">
        <v>2194</v>
      </c>
      <c r="L402" s="28" t="s">
        <v>566</v>
      </c>
      <c r="M402" s="38" t="s">
        <v>1856</v>
      </c>
      <c r="N402" s="100" t="s">
        <v>2092</v>
      </c>
      <c r="O402" s="153" t="s">
        <v>1260</v>
      </c>
      <c r="P402" s="153" t="s">
        <v>1260</v>
      </c>
    </row>
    <row r="403" spans="3:16" ht="15.75" thickBot="1">
      <c r="C403" s="2"/>
      <c r="D403" s="13" t="s">
        <v>2256</v>
      </c>
      <c r="E403" s="14" t="s">
        <v>2225</v>
      </c>
      <c r="F403" s="15">
        <v>950</v>
      </c>
      <c r="G403" s="14">
        <v>1879</v>
      </c>
      <c r="H403" s="28">
        <v>94</v>
      </c>
      <c r="I403" s="136">
        <v>106</v>
      </c>
      <c r="J403" s="27" t="s">
        <v>2193</v>
      </c>
      <c r="K403" s="28" t="s">
        <v>2194</v>
      </c>
      <c r="L403" s="28" t="s">
        <v>566</v>
      </c>
      <c r="M403" s="38" t="s">
        <v>1856</v>
      </c>
      <c r="N403" s="100" t="s">
        <v>2092</v>
      </c>
      <c r="O403" s="153" t="s">
        <v>1260</v>
      </c>
      <c r="P403" s="153" t="s">
        <v>1260</v>
      </c>
    </row>
    <row r="404" spans="3:16" ht="15.75" thickBot="1">
      <c r="C404" s="2"/>
      <c r="D404" s="13" t="s">
        <v>2257</v>
      </c>
      <c r="E404" s="14" t="s">
        <v>2212</v>
      </c>
      <c r="F404" s="15">
        <v>600</v>
      </c>
      <c r="G404" s="14">
        <v>1728</v>
      </c>
      <c r="H404" s="28">
        <v>60</v>
      </c>
      <c r="I404" s="136">
        <v>68</v>
      </c>
      <c r="J404" s="27" t="s">
        <v>2193</v>
      </c>
      <c r="K404" s="28" t="s">
        <v>2194</v>
      </c>
      <c r="L404" s="28" t="s">
        <v>566</v>
      </c>
      <c r="M404" s="38" t="s">
        <v>1856</v>
      </c>
      <c r="N404" s="100" t="s">
        <v>2092</v>
      </c>
      <c r="O404" s="153" t="s">
        <v>1260</v>
      </c>
      <c r="P404" s="153" t="s">
        <v>1260</v>
      </c>
    </row>
    <row r="405" spans="3:16" ht="15.75" thickBot="1">
      <c r="C405" s="2"/>
      <c r="D405" s="13" t="s">
        <v>2258</v>
      </c>
      <c r="E405" s="14" t="s">
        <v>2259</v>
      </c>
      <c r="F405" s="15">
        <v>3000</v>
      </c>
      <c r="G405" s="14">
        <v>2690</v>
      </c>
      <c r="H405" s="28">
        <v>200</v>
      </c>
      <c r="I405" s="136">
        <v>221</v>
      </c>
      <c r="J405" s="27" t="s">
        <v>2193</v>
      </c>
      <c r="K405" s="28" t="s">
        <v>2194</v>
      </c>
      <c r="L405" s="28" t="s">
        <v>566</v>
      </c>
      <c r="M405" s="38" t="s">
        <v>1856</v>
      </c>
      <c r="N405" s="100" t="s">
        <v>2092</v>
      </c>
      <c r="O405" s="153" t="s">
        <v>1260</v>
      </c>
      <c r="P405" s="153" t="s">
        <v>1260</v>
      </c>
    </row>
    <row r="406" spans="3:16" ht="15.75" thickBot="1">
      <c r="C406" s="2"/>
      <c r="D406" s="13" t="s">
        <v>2260</v>
      </c>
      <c r="E406" s="14" t="s">
        <v>2261</v>
      </c>
      <c r="F406" s="15">
        <v>2420</v>
      </c>
      <c r="G406" s="14">
        <v>2529</v>
      </c>
      <c r="H406" s="28">
        <v>177</v>
      </c>
      <c r="I406" s="136">
        <v>195</v>
      </c>
      <c r="J406" s="27" t="s">
        <v>2193</v>
      </c>
      <c r="K406" s="28" t="s">
        <v>2194</v>
      </c>
      <c r="L406" s="28" t="s">
        <v>566</v>
      </c>
      <c r="M406" s="38" t="s">
        <v>1856</v>
      </c>
      <c r="N406" s="100" t="s">
        <v>2092</v>
      </c>
      <c r="O406" s="153" t="s">
        <v>1260</v>
      </c>
      <c r="P406" s="153" t="s">
        <v>1260</v>
      </c>
    </row>
    <row r="407" spans="3:16" ht="15.75" thickBot="1">
      <c r="C407" s="2"/>
      <c r="D407" s="13" t="s">
        <v>2262</v>
      </c>
      <c r="E407" s="14" t="s">
        <v>2249</v>
      </c>
      <c r="F407" s="15">
        <v>1680</v>
      </c>
      <c r="G407" s="14">
        <v>2340</v>
      </c>
      <c r="H407" s="28">
        <v>134</v>
      </c>
      <c r="I407" s="136">
        <v>148</v>
      </c>
      <c r="J407" s="27" t="s">
        <v>2193</v>
      </c>
      <c r="K407" s="28" t="s">
        <v>2194</v>
      </c>
      <c r="L407" s="28" t="s">
        <v>566</v>
      </c>
      <c r="M407" s="38" t="s">
        <v>1856</v>
      </c>
      <c r="N407" s="100" t="s">
        <v>2092</v>
      </c>
      <c r="O407" s="153" t="s">
        <v>1260</v>
      </c>
      <c r="P407" s="153" t="s">
        <v>1260</v>
      </c>
    </row>
    <row r="408" spans="3:16" ht="15.75" thickBot="1">
      <c r="C408" s="2"/>
      <c r="D408" s="13" t="s">
        <v>2263</v>
      </c>
      <c r="E408" s="14" t="s">
        <v>2223</v>
      </c>
      <c r="F408" s="15">
        <v>1080</v>
      </c>
      <c r="G408" s="14">
        <v>2152</v>
      </c>
      <c r="H408" s="28">
        <v>86</v>
      </c>
      <c r="I408" s="136">
        <v>95</v>
      </c>
      <c r="J408" s="27" t="s">
        <v>2193</v>
      </c>
      <c r="K408" s="28" t="s">
        <v>2194</v>
      </c>
      <c r="L408" s="28" t="s">
        <v>566</v>
      </c>
      <c r="M408" s="38" t="s">
        <v>1856</v>
      </c>
      <c r="N408" s="100" t="s">
        <v>2092</v>
      </c>
      <c r="O408" s="153" t="s">
        <v>1260</v>
      </c>
      <c r="P408" s="153" t="s">
        <v>1260</v>
      </c>
    </row>
    <row r="409" spans="3:16" ht="15.75" thickBot="1">
      <c r="C409" s="2"/>
      <c r="D409" s="13" t="s">
        <v>2264</v>
      </c>
      <c r="E409" s="14">
        <v>1600</v>
      </c>
      <c r="F409" s="15">
        <v>2150</v>
      </c>
      <c r="G409" s="14">
        <v>2290</v>
      </c>
      <c r="H409" s="28">
        <v>180</v>
      </c>
      <c r="I409" s="136">
        <v>198</v>
      </c>
      <c r="J409" s="27" t="s">
        <v>2193</v>
      </c>
      <c r="K409" s="28" t="s">
        <v>2194</v>
      </c>
      <c r="L409" s="28" t="s">
        <v>566</v>
      </c>
      <c r="M409" s="38" t="s">
        <v>1856</v>
      </c>
      <c r="N409" s="100" t="s">
        <v>2092</v>
      </c>
      <c r="O409" s="153" t="s">
        <v>1260</v>
      </c>
      <c r="P409" s="153" t="s">
        <v>1260</v>
      </c>
    </row>
    <row r="410" spans="3:16" ht="15.75" thickBot="1">
      <c r="C410" s="2"/>
      <c r="D410" s="13" t="s">
        <v>2265</v>
      </c>
      <c r="E410" s="14" t="s">
        <v>2266</v>
      </c>
      <c r="F410" s="15">
        <v>1880</v>
      </c>
      <c r="G410" s="14">
        <v>2153</v>
      </c>
      <c r="H410" s="28">
        <v>159</v>
      </c>
      <c r="I410" s="136">
        <v>175</v>
      </c>
      <c r="J410" s="27" t="s">
        <v>2193</v>
      </c>
      <c r="K410" s="28" t="s">
        <v>2194</v>
      </c>
      <c r="L410" s="28" t="s">
        <v>566</v>
      </c>
      <c r="M410" s="38" t="s">
        <v>1856</v>
      </c>
      <c r="N410" s="100" t="s">
        <v>2092</v>
      </c>
      <c r="O410" s="153" t="s">
        <v>1260</v>
      </c>
      <c r="P410" s="153" t="s">
        <v>1260</v>
      </c>
    </row>
    <row r="411" spans="3:16" ht="15.75" thickBot="1">
      <c r="C411" s="2"/>
      <c r="D411" s="13" t="s">
        <v>2267</v>
      </c>
      <c r="E411" s="14" t="s">
        <v>2255</v>
      </c>
      <c r="F411" s="15">
        <v>1350</v>
      </c>
      <c r="G411" s="14">
        <v>1992</v>
      </c>
      <c r="H411" s="28">
        <v>120</v>
      </c>
      <c r="I411" s="136">
        <v>132</v>
      </c>
      <c r="J411" s="27" t="s">
        <v>2193</v>
      </c>
      <c r="K411" s="28" t="s">
        <v>2194</v>
      </c>
      <c r="L411" s="28" t="s">
        <v>566</v>
      </c>
      <c r="M411" s="38" t="s">
        <v>1856</v>
      </c>
      <c r="N411" s="100" t="s">
        <v>2092</v>
      </c>
      <c r="O411" s="153" t="s">
        <v>1260</v>
      </c>
      <c r="P411" s="153" t="s">
        <v>1260</v>
      </c>
    </row>
    <row r="412" spans="3:16" ht="15.75" thickBot="1">
      <c r="C412" s="2"/>
      <c r="D412" s="13" t="s">
        <v>2268</v>
      </c>
      <c r="E412" s="14" t="s">
        <v>2230</v>
      </c>
      <c r="F412" s="15">
        <v>850</v>
      </c>
      <c r="G412" s="14">
        <v>1832</v>
      </c>
      <c r="H412" s="28">
        <v>77</v>
      </c>
      <c r="I412" s="136">
        <v>85</v>
      </c>
      <c r="J412" s="27" t="s">
        <v>2193</v>
      </c>
      <c r="K412" s="28" t="s">
        <v>2194</v>
      </c>
      <c r="L412" s="28" t="s">
        <v>566</v>
      </c>
      <c r="M412" s="38" t="s">
        <v>1856</v>
      </c>
      <c r="N412" s="100" t="s">
        <v>2092</v>
      </c>
      <c r="O412" s="153" t="s">
        <v>1260</v>
      </c>
      <c r="P412" s="153" t="s">
        <v>1260</v>
      </c>
    </row>
    <row r="413" spans="3:16" ht="15.75" thickBot="1">
      <c r="C413" s="2"/>
      <c r="D413" s="13" t="s">
        <v>2269</v>
      </c>
      <c r="E413" s="14" t="s">
        <v>2223</v>
      </c>
      <c r="F413" s="15">
        <v>1080</v>
      </c>
      <c r="G413" s="14">
        <v>2020</v>
      </c>
      <c r="H413" s="28">
        <v>98</v>
      </c>
      <c r="I413" s="136">
        <v>108</v>
      </c>
      <c r="J413" s="27" t="s">
        <v>2236</v>
      </c>
      <c r="K413" s="28" t="s">
        <v>2237</v>
      </c>
      <c r="L413" s="28" t="s">
        <v>566</v>
      </c>
      <c r="M413" s="38" t="s">
        <v>1830</v>
      </c>
      <c r="N413" s="100" t="s">
        <v>2092</v>
      </c>
      <c r="O413" s="153" t="s">
        <v>1260</v>
      </c>
      <c r="P413" s="153" t="s">
        <v>1260</v>
      </c>
    </row>
    <row r="414" spans="3:16" ht="15.75" thickBot="1">
      <c r="C414" s="2"/>
      <c r="D414" s="13" t="s">
        <v>2270</v>
      </c>
      <c r="E414" s="14" t="s">
        <v>2225</v>
      </c>
      <c r="F414" s="15">
        <v>950</v>
      </c>
      <c r="G414" s="14">
        <v>1899</v>
      </c>
      <c r="H414" s="28">
        <v>87</v>
      </c>
      <c r="I414" s="136">
        <v>95</v>
      </c>
      <c r="J414" s="27" t="s">
        <v>2236</v>
      </c>
      <c r="K414" s="28" t="s">
        <v>2237</v>
      </c>
      <c r="L414" s="28" t="s">
        <v>566</v>
      </c>
      <c r="M414" s="38" t="s">
        <v>1830</v>
      </c>
      <c r="N414" s="100" t="s">
        <v>2092</v>
      </c>
      <c r="O414" s="153" t="s">
        <v>1260</v>
      </c>
      <c r="P414" s="153" t="s">
        <v>1260</v>
      </c>
    </row>
    <row r="415" spans="3:16" ht="15.75" thickBot="1">
      <c r="C415" s="2"/>
      <c r="D415" s="13" t="s">
        <v>2271</v>
      </c>
      <c r="E415" s="14" t="s">
        <v>2209</v>
      </c>
      <c r="F415" s="15">
        <v>670</v>
      </c>
      <c r="G415" s="14">
        <v>1757</v>
      </c>
      <c r="H415" s="28">
        <v>66</v>
      </c>
      <c r="I415" s="136">
        <v>72</v>
      </c>
      <c r="J415" s="27" t="s">
        <v>2236</v>
      </c>
      <c r="K415" s="28" t="s">
        <v>2237</v>
      </c>
      <c r="L415" s="28" t="s">
        <v>566</v>
      </c>
      <c r="M415" s="38" t="s">
        <v>1830</v>
      </c>
      <c r="N415" s="100" t="s">
        <v>2092</v>
      </c>
      <c r="O415" s="153" t="s">
        <v>1260</v>
      </c>
      <c r="P415" s="153" t="s">
        <v>1260</v>
      </c>
    </row>
    <row r="416" spans="3:16" ht="15.75" thickBot="1">
      <c r="C416" s="2"/>
      <c r="D416" s="13" t="s">
        <v>2272</v>
      </c>
      <c r="E416" s="14" t="s">
        <v>2240</v>
      </c>
      <c r="F416" s="15">
        <v>380</v>
      </c>
      <c r="G416" s="14">
        <v>1616</v>
      </c>
      <c r="H416" s="28">
        <v>42</v>
      </c>
      <c r="I416" s="136">
        <v>46</v>
      </c>
      <c r="J416" s="27" t="s">
        <v>2236</v>
      </c>
      <c r="K416" s="28" t="s">
        <v>2237</v>
      </c>
      <c r="L416" s="28" t="s">
        <v>566</v>
      </c>
      <c r="M416" s="38" t="s">
        <v>1830</v>
      </c>
      <c r="N416" s="100" t="s">
        <v>1831</v>
      </c>
      <c r="O416" s="153" t="s">
        <v>1260</v>
      </c>
      <c r="P416" s="153" t="s">
        <v>1260</v>
      </c>
    </row>
    <row r="417" spans="3:16" ht="15.75" thickBot="1">
      <c r="C417" s="2"/>
      <c r="D417" s="13" t="s">
        <v>2273</v>
      </c>
      <c r="E417" s="14" t="s">
        <v>2230</v>
      </c>
      <c r="F417" s="15">
        <v>850</v>
      </c>
      <c r="G417" s="14">
        <v>1720</v>
      </c>
      <c r="H417" s="28">
        <v>90</v>
      </c>
      <c r="I417" s="136">
        <v>99</v>
      </c>
      <c r="J417" s="27" t="s">
        <v>2236</v>
      </c>
      <c r="K417" s="28" t="s">
        <v>2237</v>
      </c>
      <c r="L417" s="28" t="s">
        <v>566</v>
      </c>
      <c r="M417" s="38" t="s">
        <v>1830</v>
      </c>
      <c r="N417" s="100" t="s">
        <v>2092</v>
      </c>
      <c r="O417" s="153" t="s">
        <v>1260</v>
      </c>
      <c r="P417" s="153" t="s">
        <v>1260</v>
      </c>
    </row>
    <row r="418" spans="3:16" ht="15.75" thickBot="1">
      <c r="C418" s="2"/>
      <c r="D418" s="13" t="s">
        <v>2274</v>
      </c>
      <c r="E418" s="14" t="s">
        <v>2232</v>
      </c>
      <c r="F418" s="15">
        <v>750</v>
      </c>
      <c r="G418" s="14">
        <v>1617</v>
      </c>
      <c r="H418" s="28">
        <v>80</v>
      </c>
      <c r="I418" s="136">
        <v>87</v>
      </c>
      <c r="J418" s="27" t="s">
        <v>2236</v>
      </c>
      <c r="K418" s="28" t="s">
        <v>2237</v>
      </c>
      <c r="L418" s="28" t="s">
        <v>566</v>
      </c>
      <c r="M418" s="38" t="s">
        <v>1830</v>
      </c>
      <c r="N418" s="100" t="s">
        <v>2092</v>
      </c>
      <c r="O418" s="153" t="s">
        <v>1260</v>
      </c>
      <c r="P418" s="153" t="s">
        <v>1260</v>
      </c>
    </row>
    <row r="419" spans="3:16" ht="15.75" thickBot="1">
      <c r="C419" s="2"/>
      <c r="D419" s="13" t="s">
        <v>2275</v>
      </c>
      <c r="E419" s="14" t="s">
        <v>2218</v>
      </c>
      <c r="F419" s="15">
        <v>540</v>
      </c>
      <c r="G419" s="14">
        <v>1496</v>
      </c>
      <c r="H419" s="28">
        <v>60</v>
      </c>
      <c r="I419" s="136">
        <v>66</v>
      </c>
      <c r="J419" s="27" t="s">
        <v>2236</v>
      </c>
      <c r="K419" s="28" t="s">
        <v>2237</v>
      </c>
      <c r="L419" s="28" t="s">
        <v>566</v>
      </c>
      <c r="M419" s="38" t="s">
        <v>1830</v>
      </c>
      <c r="N419" s="100" t="s">
        <v>2092</v>
      </c>
      <c r="O419" s="153" t="s">
        <v>1260</v>
      </c>
      <c r="P419" s="153" t="s">
        <v>1260</v>
      </c>
    </row>
    <row r="420" spans="3:16" ht="15.75" thickBot="1">
      <c r="C420" s="2"/>
      <c r="D420" s="13" t="s">
        <v>2276</v>
      </c>
      <c r="E420" s="14" t="s">
        <v>2216</v>
      </c>
      <c r="F420" s="15">
        <v>300</v>
      </c>
      <c r="G420" s="14">
        <v>1376</v>
      </c>
      <c r="H420" s="28">
        <v>39</v>
      </c>
      <c r="I420" s="136">
        <v>42</v>
      </c>
      <c r="J420" s="27" t="s">
        <v>2236</v>
      </c>
      <c r="K420" s="28" t="s">
        <v>2237</v>
      </c>
      <c r="L420" s="28" t="s">
        <v>566</v>
      </c>
      <c r="M420" s="38" t="s">
        <v>1830</v>
      </c>
      <c r="N420" s="100" t="s">
        <v>1831</v>
      </c>
      <c r="O420" s="153" t="s">
        <v>1260</v>
      </c>
      <c r="P420" s="153" t="s">
        <v>1260</v>
      </c>
    </row>
    <row r="421" spans="3:16" ht="15.75" thickBot="1">
      <c r="C421" s="2"/>
      <c r="D421" s="13" t="s">
        <v>2277</v>
      </c>
      <c r="E421" s="14" t="s">
        <v>2198</v>
      </c>
      <c r="F421" s="15">
        <v>220</v>
      </c>
      <c r="G421" s="14">
        <v>1800</v>
      </c>
      <c r="H421" s="28">
        <v>22</v>
      </c>
      <c r="I421" s="136">
        <v>29</v>
      </c>
      <c r="J421" s="27" t="s">
        <v>2278</v>
      </c>
      <c r="K421" s="28" t="s">
        <v>2194</v>
      </c>
      <c r="L421" s="28" t="s">
        <v>566</v>
      </c>
      <c r="M421" s="38" t="s">
        <v>1830</v>
      </c>
      <c r="N421" s="100" t="s">
        <v>1831</v>
      </c>
      <c r="O421" s="153" t="s">
        <v>1260</v>
      </c>
      <c r="P421" s="153" t="s">
        <v>1260</v>
      </c>
    </row>
    <row r="422" spans="3:16" ht="15.75" thickBot="1">
      <c r="C422" s="2"/>
      <c r="D422" s="13" t="s">
        <v>2279</v>
      </c>
      <c r="E422" s="14" t="s">
        <v>2203</v>
      </c>
      <c r="F422" s="15">
        <v>180</v>
      </c>
      <c r="G422" s="14">
        <v>1692</v>
      </c>
      <c r="H422" s="28">
        <v>19</v>
      </c>
      <c r="I422" s="136">
        <v>26</v>
      </c>
      <c r="J422" s="27" t="s">
        <v>2278</v>
      </c>
      <c r="K422" s="28" t="s">
        <v>2194</v>
      </c>
      <c r="L422" s="28" t="s">
        <v>566</v>
      </c>
      <c r="M422" s="38" t="s">
        <v>1830</v>
      </c>
      <c r="N422" s="100" t="s">
        <v>1831</v>
      </c>
      <c r="O422" s="153" t="s">
        <v>1260</v>
      </c>
      <c r="P422" s="153" t="s">
        <v>1260</v>
      </c>
    </row>
    <row r="423" spans="3:16" ht="15.75" thickBot="1">
      <c r="C423" s="2"/>
      <c r="D423" s="13" t="s">
        <v>2280</v>
      </c>
      <c r="E423" s="14" t="s">
        <v>2205</v>
      </c>
      <c r="F423" s="15">
        <v>150</v>
      </c>
      <c r="G423" s="14">
        <v>1606</v>
      </c>
      <c r="H423" s="28">
        <v>15</v>
      </c>
      <c r="I423" s="136">
        <v>20</v>
      </c>
      <c r="J423" s="27" t="s">
        <v>2278</v>
      </c>
      <c r="K423" s="28" t="s">
        <v>2194</v>
      </c>
      <c r="L423" s="28" t="s">
        <v>566</v>
      </c>
      <c r="M423" s="38" t="s">
        <v>1830</v>
      </c>
      <c r="N423" s="100" t="s">
        <v>1831</v>
      </c>
      <c r="O423" s="153" t="s">
        <v>1260</v>
      </c>
      <c r="P423" s="153" t="s">
        <v>1260</v>
      </c>
    </row>
    <row r="424" spans="3:16" ht="15.75" thickBot="1">
      <c r="C424" s="2"/>
      <c r="D424" s="13" t="s">
        <v>2281</v>
      </c>
      <c r="E424" s="14" t="s">
        <v>2203</v>
      </c>
      <c r="F424" s="15">
        <v>180</v>
      </c>
      <c r="G424" s="14">
        <v>1543</v>
      </c>
      <c r="H424" s="28">
        <v>20</v>
      </c>
      <c r="I424" s="136">
        <v>26</v>
      </c>
      <c r="J424" s="27" t="s">
        <v>2278</v>
      </c>
      <c r="K424" s="28" t="s">
        <v>2194</v>
      </c>
      <c r="L424" s="28" t="s">
        <v>566</v>
      </c>
      <c r="M424" s="38" t="s">
        <v>1830</v>
      </c>
      <c r="N424" s="100" t="s">
        <v>1831</v>
      </c>
      <c r="O424" s="153" t="s">
        <v>1260</v>
      </c>
      <c r="P424" s="153" t="s">
        <v>1260</v>
      </c>
    </row>
    <row r="425" spans="3:16" ht="15.75" thickBot="1">
      <c r="C425" s="2"/>
      <c r="D425" s="13" t="s">
        <v>2282</v>
      </c>
      <c r="E425" s="14" t="s">
        <v>2205</v>
      </c>
      <c r="F425" s="15">
        <v>150</v>
      </c>
      <c r="G425" s="14">
        <v>1451</v>
      </c>
      <c r="H425" s="28">
        <v>18</v>
      </c>
      <c r="I425" s="136">
        <v>23</v>
      </c>
      <c r="J425" s="27" t="s">
        <v>2278</v>
      </c>
      <c r="K425" s="28" t="s">
        <v>2194</v>
      </c>
      <c r="L425" s="28" t="s">
        <v>566</v>
      </c>
      <c r="M425" s="38" t="s">
        <v>1830</v>
      </c>
      <c r="N425" s="100" t="s">
        <v>1831</v>
      </c>
      <c r="O425" s="153" t="s">
        <v>1260</v>
      </c>
      <c r="P425" s="153" t="s">
        <v>1260</v>
      </c>
    </row>
    <row r="426" spans="3:16" ht="15.75" thickBot="1">
      <c r="C426" s="2"/>
      <c r="D426" s="13" t="s">
        <v>2283</v>
      </c>
      <c r="E426" s="14" t="s">
        <v>2207</v>
      </c>
      <c r="F426" s="15">
        <v>100</v>
      </c>
      <c r="G426" s="14">
        <v>1377</v>
      </c>
      <c r="H426" s="28">
        <v>14</v>
      </c>
      <c r="I426" s="136">
        <v>18</v>
      </c>
      <c r="J426" s="27" t="s">
        <v>2278</v>
      </c>
      <c r="K426" s="28" t="s">
        <v>2194</v>
      </c>
      <c r="L426" s="28" t="s">
        <v>566</v>
      </c>
      <c r="M426" s="38" t="s">
        <v>1830</v>
      </c>
      <c r="N426" s="100" t="s">
        <v>1831</v>
      </c>
      <c r="O426" s="153" t="s">
        <v>1260</v>
      </c>
      <c r="P426" s="153" t="s">
        <v>1260</v>
      </c>
    </row>
    <row r="427" spans="3:16" ht="15.75" thickBot="1">
      <c r="C427" s="2"/>
      <c r="D427" s="13" t="s">
        <v>2284</v>
      </c>
      <c r="E427" s="14">
        <v>185</v>
      </c>
      <c r="F427" s="15">
        <v>250</v>
      </c>
      <c r="G427" s="14">
        <v>2020</v>
      </c>
      <c r="H427" s="28">
        <v>22</v>
      </c>
      <c r="I427" s="136">
        <v>27</v>
      </c>
      <c r="J427" s="27" t="s">
        <v>2285</v>
      </c>
      <c r="K427" s="28">
        <v>980</v>
      </c>
      <c r="L427" s="28" t="s">
        <v>566</v>
      </c>
      <c r="M427" s="38" t="s">
        <v>1830</v>
      </c>
      <c r="N427" s="100" t="s">
        <v>1831</v>
      </c>
      <c r="O427" s="153" t="s">
        <v>1260</v>
      </c>
      <c r="P427" s="153" t="s">
        <v>1260</v>
      </c>
    </row>
    <row r="428" spans="3:16" ht="15.75" thickBot="1">
      <c r="C428" s="2"/>
      <c r="D428" s="13" t="s">
        <v>2286</v>
      </c>
      <c r="E428" s="14">
        <v>160</v>
      </c>
      <c r="F428" s="15">
        <v>220</v>
      </c>
      <c r="G428" s="14">
        <v>1919</v>
      </c>
      <c r="H428" s="28">
        <v>20</v>
      </c>
      <c r="I428" s="136">
        <v>24</v>
      </c>
      <c r="J428" s="27" t="s">
        <v>2285</v>
      </c>
      <c r="K428" s="28">
        <v>980</v>
      </c>
      <c r="L428" s="28" t="s">
        <v>566</v>
      </c>
      <c r="M428" s="38" t="s">
        <v>1830</v>
      </c>
      <c r="N428" s="100" t="s">
        <v>1831</v>
      </c>
      <c r="O428" s="153" t="s">
        <v>1260</v>
      </c>
      <c r="P428" s="153" t="s">
        <v>1260</v>
      </c>
    </row>
    <row r="429" spans="3:16" ht="15.75" thickBot="1">
      <c r="C429" s="2"/>
      <c r="D429" s="13" t="s">
        <v>2287</v>
      </c>
      <c r="E429" s="14">
        <v>132</v>
      </c>
      <c r="F429" s="15">
        <v>180</v>
      </c>
      <c r="G429" s="14">
        <v>1858</v>
      </c>
      <c r="H429" s="28">
        <v>19</v>
      </c>
      <c r="I429" s="136">
        <v>23</v>
      </c>
      <c r="J429" s="27" t="s">
        <v>2285</v>
      </c>
      <c r="K429" s="28">
        <v>980</v>
      </c>
      <c r="L429" s="28" t="s">
        <v>566</v>
      </c>
      <c r="M429" s="38" t="s">
        <v>1830</v>
      </c>
      <c r="N429" s="100" t="s">
        <v>1831</v>
      </c>
      <c r="O429" s="153" t="s">
        <v>1260</v>
      </c>
      <c r="P429" s="153" t="s">
        <v>1260</v>
      </c>
    </row>
    <row r="430" spans="3:16" ht="15.75" thickBot="1">
      <c r="C430" s="2"/>
      <c r="D430" s="13" t="s">
        <v>2288</v>
      </c>
      <c r="E430" s="14">
        <v>110</v>
      </c>
      <c r="F430" s="15">
        <v>150</v>
      </c>
      <c r="G430" s="14">
        <v>1778</v>
      </c>
      <c r="H430" s="28">
        <v>17</v>
      </c>
      <c r="I430" s="136">
        <v>21</v>
      </c>
      <c r="J430" s="27" t="s">
        <v>2285</v>
      </c>
      <c r="K430" s="28">
        <v>980</v>
      </c>
      <c r="L430" s="28" t="s">
        <v>566</v>
      </c>
      <c r="M430" s="38" t="s">
        <v>1830</v>
      </c>
      <c r="N430" s="100" t="s">
        <v>1831</v>
      </c>
      <c r="O430" s="153" t="s">
        <v>1260</v>
      </c>
      <c r="P430" s="153" t="s">
        <v>1260</v>
      </c>
    </row>
    <row r="431" spans="3:16" ht="15.75" thickBot="1">
      <c r="C431" s="2"/>
      <c r="D431" s="13" t="s">
        <v>2289</v>
      </c>
      <c r="E431" s="14">
        <v>132</v>
      </c>
      <c r="F431" s="15">
        <v>180</v>
      </c>
      <c r="G431" s="14">
        <v>1720</v>
      </c>
      <c r="H431" s="28">
        <v>20</v>
      </c>
      <c r="I431" s="136">
        <v>24</v>
      </c>
      <c r="J431" s="27" t="s">
        <v>2285</v>
      </c>
      <c r="K431" s="28">
        <v>980</v>
      </c>
      <c r="L431" s="28" t="s">
        <v>566</v>
      </c>
      <c r="M431" s="38" t="s">
        <v>1830</v>
      </c>
      <c r="N431" s="100" t="s">
        <v>1831</v>
      </c>
      <c r="O431" s="153" t="s">
        <v>1260</v>
      </c>
      <c r="P431" s="153" t="s">
        <v>1260</v>
      </c>
    </row>
    <row r="432" spans="3:16" ht="15.75" thickBot="1">
      <c r="C432" s="2"/>
      <c r="D432" s="13" t="s">
        <v>2290</v>
      </c>
      <c r="E432" s="14">
        <v>110</v>
      </c>
      <c r="F432" s="15">
        <v>150</v>
      </c>
      <c r="G432" s="14">
        <v>1651</v>
      </c>
      <c r="H432" s="28">
        <v>18</v>
      </c>
      <c r="I432" s="136">
        <v>22</v>
      </c>
      <c r="J432" s="27" t="s">
        <v>2285</v>
      </c>
      <c r="K432" s="28">
        <v>980</v>
      </c>
      <c r="L432" s="28" t="s">
        <v>566</v>
      </c>
      <c r="M432" s="38" t="s">
        <v>1830</v>
      </c>
      <c r="N432" s="100" t="s">
        <v>1831</v>
      </c>
      <c r="O432" s="153" t="s">
        <v>1260</v>
      </c>
      <c r="P432" s="153" t="s">
        <v>1260</v>
      </c>
    </row>
    <row r="433" spans="3:16" ht="15.75" thickBot="1">
      <c r="C433" s="2"/>
      <c r="D433" s="13" t="s">
        <v>2291</v>
      </c>
      <c r="E433" s="14">
        <v>110</v>
      </c>
      <c r="F433" s="15">
        <v>150</v>
      </c>
      <c r="G433" s="14">
        <v>1582</v>
      </c>
      <c r="H433" s="28">
        <v>17</v>
      </c>
      <c r="I433" s="136">
        <v>20</v>
      </c>
      <c r="J433" s="27" t="s">
        <v>2285</v>
      </c>
      <c r="K433" s="28">
        <v>980</v>
      </c>
      <c r="L433" s="28" t="s">
        <v>566</v>
      </c>
      <c r="M433" s="38" t="s">
        <v>1830</v>
      </c>
      <c r="N433" s="100" t="s">
        <v>1831</v>
      </c>
      <c r="O433" s="153" t="s">
        <v>1260</v>
      </c>
      <c r="P433" s="153" t="s">
        <v>1260</v>
      </c>
    </row>
    <row r="434" spans="3:16" ht="15.75" thickBot="1">
      <c r="C434" s="2"/>
      <c r="D434" s="13" t="s">
        <v>2292</v>
      </c>
      <c r="E434" s="14">
        <v>90</v>
      </c>
      <c r="F434" s="15">
        <v>125</v>
      </c>
      <c r="G434" s="14">
        <v>1514</v>
      </c>
      <c r="H434" s="28">
        <v>15</v>
      </c>
      <c r="I434" s="136">
        <v>19</v>
      </c>
      <c r="J434" s="27" t="s">
        <v>2285</v>
      </c>
      <c r="K434" s="28">
        <v>980</v>
      </c>
      <c r="L434" s="28" t="s">
        <v>566</v>
      </c>
      <c r="M434" s="38" t="s">
        <v>1830</v>
      </c>
      <c r="N434" s="100" t="s">
        <v>1831</v>
      </c>
      <c r="O434" s="153" t="s">
        <v>1260</v>
      </c>
      <c r="P434" s="153" t="s">
        <v>1260</v>
      </c>
    </row>
    <row r="435" spans="3:16" ht="15.75" thickBot="1">
      <c r="C435" s="2"/>
      <c r="D435" s="13" t="s">
        <v>2293</v>
      </c>
      <c r="E435" s="14">
        <v>1000</v>
      </c>
      <c r="F435" s="15">
        <v>1350</v>
      </c>
      <c r="G435" s="14">
        <v>4200</v>
      </c>
      <c r="H435" s="28">
        <v>68</v>
      </c>
      <c r="I435" s="136">
        <v>81</v>
      </c>
      <c r="J435" s="27" t="s">
        <v>2285</v>
      </c>
      <c r="K435" s="28">
        <v>1480</v>
      </c>
      <c r="L435" s="28" t="s">
        <v>566</v>
      </c>
      <c r="M435" s="38" t="s">
        <v>1830</v>
      </c>
      <c r="N435" s="100" t="s">
        <v>2092</v>
      </c>
      <c r="O435" s="153" t="s">
        <v>1260</v>
      </c>
      <c r="P435" s="153" t="s">
        <v>1260</v>
      </c>
    </row>
    <row r="436" spans="3:16" ht="15.75" thickBot="1">
      <c r="C436" s="2"/>
      <c r="D436" s="13" t="s">
        <v>2294</v>
      </c>
      <c r="E436" s="14">
        <v>900</v>
      </c>
      <c r="F436" s="15">
        <v>1200</v>
      </c>
      <c r="G436" s="14">
        <v>3948</v>
      </c>
      <c r="H436" s="28">
        <v>60</v>
      </c>
      <c r="I436" s="136">
        <v>72</v>
      </c>
      <c r="J436" s="27" t="s">
        <v>2285</v>
      </c>
      <c r="K436" s="28">
        <v>1480</v>
      </c>
      <c r="L436" s="28" t="s">
        <v>566</v>
      </c>
      <c r="M436" s="38" t="s">
        <v>1830</v>
      </c>
      <c r="N436" s="100" t="s">
        <v>2092</v>
      </c>
      <c r="O436" s="153" t="s">
        <v>1260</v>
      </c>
      <c r="P436" s="153" t="s">
        <v>1260</v>
      </c>
    </row>
    <row r="437" spans="3:16" ht="15.75" thickBot="1">
      <c r="C437" s="2"/>
      <c r="D437" s="13" t="s">
        <v>2295</v>
      </c>
      <c r="E437" s="14">
        <v>710</v>
      </c>
      <c r="F437" s="15">
        <v>950</v>
      </c>
      <c r="G437" s="14">
        <v>3746</v>
      </c>
      <c r="H437" s="28">
        <v>48</v>
      </c>
      <c r="I437" s="136">
        <v>57</v>
      </c>
      <c r="J437" s="27" t="s">
        <v>2285</v>
      </c>
      <c r="K437" s="28">
        <v>1480</v>
      </c>
      <c r="L437" s="28" t="s">
        <v>566</v>
      </c>
      <c r="M437" s="38" t="s">
        <v>1830</v>
      </c>
      <c r="N437" s="100" t="s">
        <v>2092</v>
      </c>
      <c r="O437" s="153" t="s">
        <v>1260</v>
      </c>
      <c r="P437" s="153" t="s">
        <v>1260</v>
      </c>
    </row>
    <row r="438" spans="3:16" ht="15.75" thickBot="1">
      <c r="C438" s="2"/>
      <c r="D438" s="13" t="s">
        <v>2296</v>
      </c>
      <c r="E438" s="14">
        <v>450</v>
      </c>
      <c r="F438" s="15">
        <v>600</v>
      </c>
      <c r="G438" s="14">
        <v>3541</v>
      </c>
      <c r="H438" s="28">
        <v>34</v>
      </c>
      <c r="I438" s="136">
        <v>40</v>
      </c>
      <c r="J438" s="27" t="s">
        <v>2285</v>
      </c>
      <c r="K438" s="28">
        <v>1480</v>
      </c>
      <c r="L438" s="28" t="s">
        <v>566</v>
      </c>
      <c r="M438" s="38" t="s">
        <v>1830</v>
      </c>
      <c r="N438" s="100" t="s">
        <v>2092</v>
      </c>
      <c r="O438" s="153" t="s">
        <v>1260</v>
      </c>
      <c r="P438" s="153" t="s">
        <v>1260</v>
      </c>
    </row>
    <row r="439" spans="3:16" ht="15.75" thickBot="1">
      <c r="C439" s="2"/>
      <c r="D439" s="13" t="s">
        <v>2297</v>
      </c>
      <c r="E439" s="14">
        <v>800</v>
      </c>
      <c r="F439" s="15">
        <v>1080</v>
      </c>
      <c r="G439" s="14">
        <v>3600</v>
      </c>
      <c r="H439" s="28">
        <v>61</v>
      </c>
      <c r="I439" s="136">
        <v>73</v>
      </c>
      <c r="J439" s="27" t="s">
        <v>2285</v>
      </c>
      <c r="K439" s="28">
        <v>1480</v>
      </c>
      <c r="L439" s="28" t="s">
        <v>566</v>
      </c>
      <c r="M439" s="38" t="s">
        <v>1830</v>
      </c>
      <c r="N439" s="100" t="s">
        <v>2092</v>
      </c>
      <c r="O439" s="153" t="s">
        <v>1260</v>
      </c>
      <c r="P439" s="153" t="s">
        <v>1260</v>
      </c>
    </row>
    <row r="440" spans="3:16" ht="15.75" thickBot="1">
      <c r="C440" s="2"/>
      <c r="D440" s="13" t="s">
        <v>2298</v>
      </c>
      <c r="E440" s="14">
        <v>710</v>
      </c>
      <c r="F440" s="15">
        <v>950</v>
      </c>
      <c r="G440" s="14">
        <v>3384</v>
      </c>
      <c r="H440" s="28">
        <v>54</v>
      </c>
      <c r="I440" s="136">
        <v>65</v>
      </c>
      <c r="J440" s="27" t="s">
        <v>2285</v>
      </c>
      <c r="K440" s="28">
        <v>1480</v>
      </c>
      <c r="L440" s="28" t="s">
        <v>566</v>
      </c>
      <c r="M440" s="38" t="s">
        <v>1830</v>
      </c>
      <c r="N440" s="100" t="s">
        <v>2092</v>
      </c>
      <c r="O440" s="153" t="s">
        <v>1260</v>
      </c>
      <c r="P440" s="153" t="s">
        <v>1260</v>
      </c>
    </row>
    <row r="441" spans="3:16" ht="15.75" thickBot="1">
      <c r="C441" s="2"/>
      <c r="D441" s="13" t="s">
        <v>2299</v>
      </c>
      <c r="E441" s="14">
        <v>500</v>
      </c>
      <c r="F441" s="15">
        <v>670</v>
      </c>
      <c r="G441" s="14">
        <v>3211</v>
      </c>
      <c r="H441" s="28">
        <v>43</v>
      </c>
      <c r="I441" s="136">
        <v>51</v>
      </c>
      <c r="J441" s="27" t="s">
        <v>2285</v>
      </c>
      <c r="K441" s="28">
        <v>1480</v>
      </c>
      <c r="L441" s="28" t="s">
        <v>566</v>
      </c>
      <c r="M441" s="38" t="s">
        <v>1830</v>
      </c>
      <c r="N441" s="100" t="s">
        <v>2092</v>
      </c>
      <c r="O441" s="153" t="s">
        <v>1260</v>
      </c>
      <c r="P441" s="153" t="s">
        <v>1260</v>
      </c>
    </row>
    <row r="442" spans="3:16" ht="15.75" thickBot="1">
      <c r="C442" s="2"/>
      <c r="D442" s="13" t="s">
        <v>2300</v>
      </c>
      <c r="E442" s="14">
        <v>355</v>
      </c>
      <c r="F442" s="15">
        <v>480</v>
      </c>
      <c r="G442" s="14">
        <v>3035</v>
      </c>
      <c r="H442" s="28">
        <v>30</v>
      </c>
      <c r="I442" s="136">
        <v>36</v>
      </c>
      <c r="J442" s="27" t="s">
        <v>2285</v>
      </c>
      <c r="K442" s="28">
        <v>1480</v>
      </c>
      <c r="L442" s="28" t="s">
        <v>566</v>
      </c>
      <c r="M442" s="38" t="s">
        <v>1830</v>
      </c>
      <c r="N442" s="100" t="s">
        <v>1831</v>
      </c>
      <c r="O442" s="153" t="s">
        <v>1260</v>
      </c>
      <c r="P442" s="153" t="s">
        <v>1260</v>
      </c>
    </row>
    <row r="443" spans="3:16" ht="15.75" thickBot="1">
      <c r="C443" s="2"/>
      <c r="D443" s="13" t="s">
        <v>2301</v>
      </c>
      <c r="E443" s="14">
        <v>280</v>
      </c>
      <c r="F443" s="15">
        <v>380</v>
      </c>
      <c r="G443" s="14">
        <v>2020</v>
      </c>
      <c r="H443" s="28">
        <v>36</v>
      </c>
      <c r="I443" s="136">
        <v>42</v>
      </c>
      <c r="J443" s="27" t="s">
        <v>2285</v>
      </c>
      <c r="K443" s="28">
        <v>980</v>
      </c>
      <c r="L443" s="28" t="s">
        <v>566</v>
      </c>
      <c r="M443" s="38" t="s">
        <v>1830</v>
      </c>
      <c r="N443" s="100" t="s">
        <v>1831</v>
      </c>
      <c r="O443" s="153" t="s">
        <v>1260</v>
      </c>
      <c r="P443" s="153" t="s">
        <v>1260</v>
      </c>
    </row>
    <row r="444" spans="3:16" ht="15.75" thickBot="1">
      <c r="C444" s="2"/>
      <c r="D444" s="13" t="s">
        <v>2302</v>
      </c>
      <c r="E444" s="14">
        <v>220</v>
      </c>
      <c r="F444" s="15">
        <v>300</v>
      </c>
      <c r="G444" s="14">
        <v>1899</v>
      </c>
      <c r="H444" s="28">
        <v>32</v>
      </c>
      <c r="I444" s="136">
        <v>37</v>
      </c>
      <c r="J444" s="27" t="s">
        <v>2285</v>
      </c>
      <c r="K444" s="28">
        <v>980</v>
      </c>
      <c r="L444" s="28" t="s">
        <v>566</v>
      </c>
      <c r="M444" s="38" t="s">
        <v>1830</v>
      </c>
      <c r="N444" s="100" t="s">
        <v>1831</v>
      </c>
      <c r="O444" s="153" t="s">
        <v>1260</v>
      </c>
      <c r="P444" s="153" t="s">
        <v>1260</v>
      </c>
    </row>
    <row r="445" spans="3:16" ht="15.75" thickBot="1">
      <c r="C445" s="2"/>
      <c r="D445" s="13" t="s">
        <v>2303</v>
      </c>
      <c r="E445" s="14">
        <v>160</v>
      </c>
      <c r="F445" s="15">
        <v>220</v>
      </c>
      <c r="G445" s="14">
        <v>1778</v>
      </c>
      <c r="H445" s="28">
        <v>25</v>
      </c>
      <c r="I445" s="136">
        <v>29</v>
      </c>
      <c r="J445" s="27" t="s">
        <v>2285</v>
      </c>
      <c r="K445" s="28">
        <v>980</v>
      </c>
      <c r="L445" s="28" t="s">
        <v>566</v>
      </c>
      <c r="M445" s="38" t="s">
        <v>1830</v>
      </c>
      <c r="N445" s="100" t="s">
        <v>1831</v>
      </c>
      <c r="O445" s="153" t="s">
        <v>1260</v>
      </c>
      <c r="P445" s="153" t="s">
        <v>1260</v>
      </c>
    </row>
    <row r="446" spans="3:16" ht="15.75" thickBot="1">
      <c r="C446" s="2"/>
      <c r="D446" s="13" t="s">
        <v>2304</v>
      </c>
      <c r="E446" s="14">
        <v>110</v>
      </c>
      <c r="F446" s="15">
        <v>150</v>
      </c>
      <c r="G446" s="14">
        <v>1654</v>
      </c>
      <c r="H446" s="28">
        <v>17</v>
      </c>
      <c r="I446" s="136">
        <v>19</v>
      </c>
      <c r="J446" s="27" t="s">
        <v>2285</v>
      </c>
      <c r="K446" s="28">
        <v>980</v>
      </c>
      <c r="L446" s="28" t="s">
        <v>566</v>
      </c>
      <c r="M446" s="38" t="s">
        <v>1830</v>
      </c>
      <c r="N446" s="100" t="s">
        <v>1831</v>
      </c>
      <c r="O446" s="153" t="s">
        <v>1260</v>
      </c>
      <c r="P446" s="153" t="s">
        <v>1260</v>
      </c>
    </row>
    <row r="447" spans="3:16" ht="15.75" thickBot="1">
      <c r="C447" s="2"/>
      <c r="D447" s="13" t="s">
        <v>2305</v>
      </c>
      <c r="E447" s="14">
        <v>200</v>
      </c>
      <c r="F447" s="15">
        <v>270</v>
      </c>
      <c r="G447" s="14">
        <v>1720</v>
      </c>
      <c r="H447" s="28">
        <v>32</v>
      </c>
      <c r="I447" s="136">
        <v>37</v>
      </c>
      <c r="J447" s="27" t="s">
        <v>2285</v>
      </c>
      <c r="K447" s="28">
        <v>980</v>
      </c>
      <c r="L447" s="28" t="s">
        <v>566</v>
      </c>
      <c r="M447" s="38" t="s">
        <v>1830</v>
      </c>
      <c r="N447" s="100" t="s">
        <v>1831</v>
      </c>
      <c r="O447" s="153" t="s">
        <v>1260</v>
      </c>
      <c r="P447" s="153" t="s">
        <v>1260</v>
      </c>
    </row>
    <row r="448" spans="3:16" ht="15.75" thickBot="1">
      <c r="C448" s="2"/>
      <c r="D448" s="13" t="s">
        <v>2306</v>
      </c>
      <c r="E448" s="14">
        <v>185</v>
      </c>
      <c r="F448" s="15">
        <v>250</v>
      </c>
      <c r="G448" s="14">
        <v>1617</v>
      </c>
      <c r="H448" s="28">
        <v>28</v>
      </c>
      <c r="I448" s="136">
        <v>33</v>
      </c>
      <c r="J448" s="27" t="s">
        <v>2285</v>
      </c>
      <c r="K448" s="28">
        <v>980</v>
      </c>
      <c r="L448" s="28" t="s">
        <v>566</v>
      </c>
      <c r="M448" s="38" t="s">
        <v>1830</v>
      </c>
      <c r="N448" s="100" t="s">
        <v>1831</v>
      </c>
      <c r="O448" s="153" t="s">
        <v>1260</v>
      </c>
      <c r="P448" s="153" t="s">
        <v>1260</v>
      </c>
    </row>
    <row r="449" spans="3:16" ht="15.75" thickBot="1">
      <c r="C449" s="2"/>
      <c r="D449" s="13" t="s">
        <v>2307</v>
      </c>
      <c r="E449" s="14">
        <v>132</v>
      </c>
      <c r="F449" s="15">
        <v>180</v>
      </c>
      <c r="G449" s="14">
        <v>1514</v>
      </c>
      <c r="H449" s="28">
        <v>22</v>
      </c>
      <c r="I449" s="136">
        <v>25</v>
      </c>
      <c r="J449" s="27" t="s">
        <v>2285</v>
      </c>
      <c r="K449" s="28">
        <v>980</v>
      </c>
      <c r="L449" s="28" t="s">
        <v>566</v>
      </c>
      <c r="M449" s="38" t="s">
        <v>1830</v>
      </c>
      <c r="N449" s="100" t="s">
        <v>1831</v>
      </c>
      <c r="O449" s="153" t="s">
        <v>1260</v>
      </c>
      <c r="P449" s="153" t="s">
        <v>1260</v>
      </c>
    </row>
    <row r="450" spans="3:16" ht="15.75" thickBot="1">
      <c r="C450" s="2"/>
      <c r="D450" s="13" t="s">
        <v>2308</v>
      </c>
      <c r="E450" s="14">
        <v>90</v>
      </c>
      <c r="F450" s="15">
        <v>125</v>
      </c>
      <c r="G450" s="14">
        <v>1409</v>
      </c>
      <c r="H450" s="28">
        <v>15</v>
      </c>
      <c r="I450" s="136">
        <v>17</v>
      </c>
      <c r="J450" s="27" t="s">
        <v>2285</v>
      </c>
      <c r="K450" s="28">
        <v>980</v>
      </c>
      <c r="L450" s="28" t="s">
        <v>566</v>
      </c>
      <c r="M450" s="38" t="s">
        <v>1830</v>
      </c>
      <c r="N450" s="100" t="s">
        <v>1831</v>
      </c>
      <c r="O450" s="153" t="s">
        <v>1260</v>
      </c>
      <c r="P450" s="153" t="s">
        <v>1260</v>
      </c>
    </row>
    <row r="451" spans="3:16" ht="15.75" thickBot="1">
      <c r="C451" s="2"/>
      <c r="D451" s="13" t="s">
        <v>2309</v>
      </c>
      <c r="E451" s="14">
        <v>1250</v>
      </c>
      <c r="F451" s="15">
        <v>1680</v>
      </c>
      <c r="G451" s="14">
        <v>3700</v>
      </c>
      <c r="H451" s="28">
        <v>91</v>
      </c>
      <c r="I451" s="136">
        <v>107</v>
      </c>
      <c r="J451" s="27" t="s">
        <v>2285</v>
      </c>
      <c r="K451" s="28">
        <v>1480</v>
      </c>
      <c r="L451" s="28" t="s">
        <v>566</v>
      </c>
      <c r="M451" s="38" t="s">
        <v>1856</v>
      </c>
      <c r="N451" s="100" t="s">
        <v>2092</v>
      </c>
      <c r="O451" s="153" t="s">
        <v>1260</v>
      </c>
      <c r="P451" s="153" t="s">
        <v>1260</v>
      </c>
    </row>
    <row r="452" spans="3:16" ht="15.75" thickBot="1">
      <c r="C452" s="2"/>
      <c r="D452" s="13" t="s">
        <v>2310</v>
      </c>
      <c r="E452" s="14">
        <v>1120</v>
      </c>
      <c r="F452" s="15">
        <v>1500</v>
      </c>
      <c r="G452" s="14">
        <v>3478</v>
      </c>
      <c r="H452" s="28">
        <v>80</v>
      </c>
      <c r="I452" s="136">
        <v>95</v>
      </c>
      <c r="J452" s="27" t="s">
        <v>2285</v>
      </c>
      <c r="K452" s="28">
        <v>1480</v>
      </c>
      <c r="L452" s="28" t="s">
        <v>566</v>
      </c>
      <c r="M452" s="38" t="s">
        <v>1856</v>
      </c>
      <c r="N452" s="100" t="s">
        <v>2092</v>
      </c>
      <c r="O452" s="153" t="s">
        <v>1260</v>
      </c>
      <c r="P452" s="153" t="s">
        <v>1260</v>
      </c>
    </row>
    <row r="453" spans="3:16" ht="15.75" thickBot="1">
      <c r="C453" s="2"/>
      <c r="D453" s="13" t="s">
        <v>2311</v>
      </c>
      <c r="E453" s="14">
        <v>800</v>
      </c>
      <c r="F453" s="15">
        <v>1080</v>
      </c>
      <c r="G453" s="14">
        <v>3256</v>
      </c>
      <c r="H453" s="28">
        <v>62</v>
      </c>
      <c r="I453" s="136">
        <v>73</v>
      </c>
      <c r="J453" s="27" t="s">
        <v>2285</v>
      </c>
      <c r="K453" s="28">
        <v>1480</v>
      </c>
      <c r="L453" s="28" t="s">
        <v>566</v>
      </c>
      <c r="M453" s="38" t="s">
        <v>1856</v>
      </c>
      <c r="N453" s="100" t="s">
        <v>2092</v>
      </c>
      <c r="O453" s="153" t="s">
        <v>1260</v>
      </c>
      <c r="P453" s="153" t="s">
        <v>1260</v>
      </c>
    </row>
    <row r="454" spans="3:16" ht="15.75" thickBot="1">
      <c r="C454" s="2"/>
      <c r="D454" s="13" t="s">
        <v>2312</v>
      </c>
      <c r="E454" s="14">
        <v>500</v>
      </c>
      <c r="F454" s="15">
        <v>670</v>
      </c>
      <c r="G454" s="14">
        <v>3030</v>
      </c>
      <c r="H454" s="28">
        <v>42</v>
      </c>
      <c r="I454" s="136">
        <v>49</v>
      </c>
      <c r="J454" s="27" t="s">
        <v>2285</v>
      </c>
      <c r="K454" s="28">
        <v>1480</v>
      </c>
      <c r="L454" s="28" t="s">
        <v>566</v>
      </c>
      <c r="M454" s="38" t="s">
        <v>1856</v>
      </c>
      <c r="N454" s="100" t="s">
        <v>2092</v>
      </c>
      <c r="O454" s="153" t="s">
        <v>1260</v>
      </c>
      <c r="P454" s="153" t="s">
        <v>1260</v>
      </c>
    </row>
    <row r="455" spans="3:16" ht="15.75" thickBot="1">
      <c r="C455" s="2"/>
      <c r="D455" s="13" t="s">
        <v>2313</v>
      </c>
      <c r="E455" s="14">
        <v>1000</v>
      </c>
      <c r="F455" s="15">
        <v>1350</v>
      </c>
      <c r="G455" s="14">
        <v>3170</v>
      </c>
      <c r="H455" s="28">
        <v>82</v>
      </c>
      <c r="I455" s="136">
        <v>96</v>
      </c>
      <c r="J455" s="27" t="s">
        <v>2285</v>
      </c>
      <c r="K455" s="28">
        <v>1480</v>
      </c>
      <c r="L455" s="28" t="s">
        <v>566</v>
      </c>
      <c r="M455" s="38" t="s">
        <v>1856</v>
      </c>
      <c r="N455" s="100" t="s">
        <v>2092</v>
      </c>
      <c r="O455" s="153" t="s">
        <v>1260</v>
      </c>
      <c r="P455" s="153" t="s">
        <v>1260</v>
      </c>
    </row>
    <row r="456" spans="3:16" ht="15.75" thickBot="1">
      <c r="C456" s="2"/>
      <c r="D456" s="13" t="s">
        <v>2314</v>
      </c>
      <c r="E456" s="14">
        <v>800</v>
      </c>
      <c r="F456" s="15">
        <v>1080</v>
      </c>
      <c r="G456" s="14">
        <v>2980</v>
      </c>
      <c r="H456" s="28">
        <v>72</v>
      </c>
      <c r="I456" s="136">
        <v>85</v>
      </c>
      <c r="J456" s="27" t="s">
        <v>2285</v>
      </c>
      <c r="K456" s="28">
        <v>1480</v>
      </c>
      <c r="L456" s="28" t="s">
        <v>566</v>
      </c>
      <c r="M456" s="38" t="s">
        <v>1856</v>
      </c>
      <c r="N456" s="100" t="s">
        <v>2092</v>
      </c>
      <c r="O456" s="153" t="s">
        <v>1260</v>
      </c>
      <c r="P456" s="153" t="s">
        <v>1260</v>
      </c>
    </row>
    <row r="457" spans="3:16" ht="15.75" thickBot="1">
      <c r="C457" s="2"/>
      <c r="D457" s="13" t="s">
        <v>2315</v>
      </c>
      <c r="E457" s="14">
        <v>630</v>
      </c>
      <c r="F457" s="15">
        <v>850</v>
      </c>
      <c r="G457" s="14">
        <v>2790</v>
      </c>
      <c r="H457" s="28">
        <v>56</v>
      </c>
      <c r="I457" s="136">
        <v>66</v>
      </c>
      <c r="J457" s="27" t="s">
        <v>2285</v>
      </c>
      <c r="K457" s="28">
        <v>1480</v>
      </c>
      <c r="L457" s="28" t="s">
        <v>566</v>
      </c>
      <c r="M457" s="38" t="s">
        <v>1856</v>
      </c>
      <c r="N457" s="100" t="s">
        <v>2092</v>
      </c>
      <c r="O457" s="153" t="s">
        <v>1260</v>
      </c>
      <c r="P457" s="153" t="s">
        <v>1260</v>
      </c>
    </row>
    <row r="458" spans="3:16" ht="15.75" thickBot="1">
      <c r="C458" s="2"/>
      <c r="D458" s="13" t="s">
        <v>2316</v>
      </c>
      <c r="E458" s="14">
        <v>400</v>
      </c>
      <c r="F458" s="15">
        <v>540</v>
      </c>
      <c r="G458" s="14">
        <v>2596</v>
      </c>
      <c r="H458" s="28">
        <v>38</v>
      </c>
      <c r="I458" s="136">
        <v>44</v>
      </c>
      <c r="J458" s="27" t="s">
        <v>2285</v>
      </c>
      <c r="K458" s="28">
        <v>1480</v>
      </c>
      <c r="L458" s="28" t="s">
        <v>566</v>
      </c>
      <c r="M458" s="38" t="s">
        <v>1856</v>
      </c>
      <c r="N458" s="100" t="s">
        <v>2092</v>
      </c>
      <c r="O458" s="153" t="s">
        <v>1260</v>
      </c>
      <c r="P458" s="153" t="s">
        <v>1260</v>
      </c>
    </row>
    <row r="459" spans="3:16" ht="15.75" thickBot="1">
      <c r="C459" s="2"/>
      <c r="D459" s="13" t="s">
        <v>2317</v>
      </c>
      <c r="E459" s="14">
        <v>900</v>
      </c>
      <c r="F459" s="15">
        <v>1200</v>
      </c>
      <c r="G459" s="14">
        <v>3170</v>
      </c>
      <c r="H459" s="28">
        <v>78</v>
      </c>
      <c r="I459" s="136">
        <v>89</v>
      </c>
      <c r="J459" s="27" t="s">
        <v>2318</v>
      </c>
      <c r="K459" s="28">
        <v>980</v>
      </c>
      <c r="L459" s="28" t="s">
        <v>566</v>
      </c>
      <c r="M459" s="38" t="s">
        <v>1856</v>
      </c>
      <c r="N459" s="100" t="s">
        <v>2092</v>
      </c>
      <c r="O459" s="153" t="s">
        <v>1260</v>
      </c>
      <c r="P459" s="153" t="s">
        <v>1260</v>
      </c>
    </row>
    <row r="460" spans="3:16" ht="15.75" thickBot="1">
      <c r="C460" s="2"/>
      <c r="D460" s="13" t="s">
        <v>2319</v>
      </c>
      <c r="E460" s="14">
        <v>800</v>
      </c>
      <c r="F460" s="15">
        <v>1080</v>
      </c>
      <c r="G460" s="14">
        <v>2980</v>
      </c>
      <c r="H460" s="28">
        <v>69</v>
      </c>
      <c r="I460" s="136">
        <v>79</v>
      </c>
      <c r="J460" s="27" t="s">
        <v>2318</v>
      </c>
      <c r="K460" s="28">
        <v>980</v>
      </c>
      <c r="L460" s="28" t="s">
        <v>566</v>
      </c>
      <c r="M460" s="38" t="s">
        <v>1856</v>
      </c>
      <c r="N460" s="100" t="s">
        <v>2092</v>
      </c>
      <c r="O460" s="153" t="s">
        <v>1260</v>
      </c>
      <c r="P460" s="153" t="s">
        <v>1260</v>
      </c>
    </row>
    <row r="461" spans="3:16" ht="15.75" thickBot="1">
      <c r="C461" s="2"/>
      <c r="D461" s="13" t="s">
        <v>2320</v>
      </c>
      <c r="E461" s="14">
        <v>560</v>
      </c>
      <c r="F461" s="15">
        <v>750</v>
      </c>
      <c r="G461" s="14">
        <v>2790</v>
      </c>
      <c r="H461" s="28">
        <v>53</v>
      </c>
      <c r="I461" s="136">
        <v>61</v>
      </c>
      <c r="J461" s="27" t="s">
        <v>2318</v>
      </c>
      <c r="K461" s="28">
        <v>980</v>
      </c>
      <c r="L461" s="28" t="s">
        <v>566</v>
      </c>
      <c r="M461" s="38" t="s">
        <v>1856</v>
      </c>
      <c r="N461" s="100" t="s">
        <v>2092</v>
      </c>
      <c r="O461" s="153" t="s">
        <v>1260</v>
      </c>
      <c r="P461" s="153" t="s">
        <v>1260</v>
      </c>
    </row>
    <row r="462" spans="3:16" ht="15.75" thickBot="1">
      <c r="C462" s="2"/>
      <c r="D462" s="13" t="s">
        <v>2321</v>
      </c>
      <c r="E462" s="14">
        <v>355</v>
      </c>
      <c r="F462" s="15">
        <v>480</v>
      </c>
      <c r="G462" s="14">
        <v>2599</v>
      </c>
      <c r="H462" s="28">
        <v>36</v>
      </c>
      <c r="I462" s="136">
        <v>41</v>
      </c>
      <c r="J462" s="27" t="s">
        <v>2318</v>
      </c>
      <c r="K462" s="28">
        <v>980</v>
      </c>
      <c r="L462" s="28" t="s">
        <v>566</v>
      </c>
      <c r="M462" s="38" t="s">
        <v>1856</v>
      </c>
      <c r="N462" s="100" t="s">
        <v>2092</v>
      </c>
      <c r="O462" s="153" t="s">
        <v>1260</v>
      </c>
      <c r="P462" s="153" t="s">
        <v>1260</v>
      </c>
    </row>
    <row r="463" spans="3:16" ht="15.75" thickBot="1">
      <c r="C463" s="2"/>
      <c r="D463" s="13" t="s">
        <v>2322</v>
      </c>
      <c r="E463" s="14">
        <v>710</v>
      </c>
      <c r="F463" s="15">
        <v>950</v>
      </c>
      <c r="G463" s="14">
        <v>2690</v>
      </c>
      <c r="H463" s="28">
        <v>72</v>
      </c>
      <c r="I463" s="136">
        <v>82</v>
      </c>
      <c r="J463" s="27" t="s">
        <v>2318</v>
      </c>
      <c r="K463" s="28">
        <v>980</v>
      </c>
      <c r="L463" s="28" t="s">
        <v>566</v>
      </c>
      <c r="M463" s="38" t="s">
        <v>1856</v>
      </c>
      <c r="N463" s="100" t="s">
        <v>2092</v>
      </c>
      <c r="O463" s="153" t="s">
        <v>1260</v>
      </c>
      <c r="P463" s="153" t="s">
        <v>1260</v>
      </c>
    </row>
    <row r="464" spans="3:16" ht="15.75" thickBot="1">
      <c r="C464" s="2"/>
      <c r="D464" s="13" t="s">
        <v>2323</v>
      </c>
      <c r="E464" s="14">
        <v>630</v>
      </c>
      <c r="F464" s="15">
        <v>850</v>
      </c>
      <c r="G464" s="14">
        <v>2529</v>
      </c>
      <c r="H464" s="28">
        <v>64</v>
      </c>
      <c r="I464" s="136">
        <v>72</v>
      </c>
      <c r="J464" s="27" t="s">
        <v>2318</v>
      </c>
      <c r="K464" s="28">
        <v>980</v>
      </c>
      <c r="L464" s="28" t="s">
        <v>566</v>
      </c>
      <c r="M464" s="38" t="s">
        <v>1856</v>
      </c>
      <c r="N464" s="100" t="s">
        <v>2092</v>
      </c>
      <c r="O464" s="153" t="s">
        <v>1260</v>
      </c>
      <c r="P464" s="153" t="s">
        <v>1260</v>
      </c>
    </row>
    <row r="465" spans="3:16" ht="15.75" thickBot="1">
      <c r="C465" s="2"/>
      <c r="D465" s="13" t="s">
        <v>2324</v>
      </c>
      <c r="E465" s="14">
        <v>450</v>
      </c>
      <c r="F465" s="15">
        <v>600</v>
      </c>
      <c r="G465" s="14">
        <v>2367</v>
      </c>
      <c r="H465" s="28">
        <v>49</v>
      </c>
      <c r="I465" s="136">
        <v>56</v>
      </c>
      <c r="J465" s="27" t="s">
        <v>2318</v>
      </c>
      <c r="K465" s="28">
        <v>980</v>
      </c>
      <c r="L465" s="28" t="s">
        <v>566</v>
      </c>
      <c r="M465" s="38" t="s">
        <v>1856</v>
      </c>
      <c r="N465" s="100" t="s">
        <v>2092</v>
      </c>
      <c r="O465" s="153" t="s">
        <v>1260</v>
      </c>
      <c r="P465" s="153" t="s">
        <v>1260</v>
      </c>
    </row>
    <row r="466" spans="3:16" ht="15.75" thickBot="1">
      <c r="C466" s="2"/>
      <c r="D466" s="13" t="s">
        <v>2325</v>
      </c>
      <c r="E466" s="14">
        <v>315</v>
      </c>
      <c r="F466" s="15">
        <v>430</v>
      </c>
      <c r="G466" s="14">
        <v>2206</v>
      </c>
      <c r="H466" s="28">
        <v>33</v>
      </c>
      <c r="I466" s="136">
        <v>38</v>
      </c>
      <c r="J466" s="27" t="s">
        <v>2318</v>
      </c>
      <c r="K466" s="28">
        <v>980</v>
      </c>
      <c r="L466" s="28" t="s">
        <v>566</v>
      </c>
      <c r="M466" s="38" t="s">
        <v>1856</v>
      </c>
      <c r="N466" s="100" t="s">
        <v>2092</v>
      </c>
      <c r="O466" s="153" t="s">
        <v>1260</v>
      </c>
      <c r="P466" s="153" t="s">
        <v>1260</v>
      </c>
    </row>
    <row r="467" spans="3:16" ht="15.75" thickBot="1">
      <c r="C467" s="2"/>
      <c r="D467" s="13" t="s">
        <v>2326</v>
      </c>
      <c r="E467" s="14">
        <v>1600</v>
      </c>
      <c r="F467" s="15">
        <v>2150</v>
      </c>
      <c r="G467" s="14">
        <v>3170</v>
      </c>
      <c r="H467" s="28">
        <v>130</v>
      </c>
      <c r="I467" s="136">
        <v>143</v>
      </c>
      <c r="J467" s="27" t="s">
        <v>2318</v>
      </c>
      <c r="K467" s="28">
        <v>980</v>
      </c>
      <c r="L467" s="28" t="s">
        <v>566</v>
      </c>
      <c r="M467" s="38" t="s">
        <v>1856</v>
      </c>
      <c r="N467" s="100" t="s">
        <v>2092</v>
      </c>
      <c r="O467" s="153" t="s">
        <v>1260</v>
      </c>
      <c r="P467" s="153" t="s">
        <v>1260</v>
      </c>
    </row>
    <row r="468" spans="3:16" ht="15.75" thickBot="1">
      <c r="C468" s="2"/>
      <c r="D468" s="13" t="s">
        <v>2327</v>
      </c>
      <c r="E468" s="14">
        <v>1400</v>
      </c>
      <c r="F468" s="15">
        <v>1880</v>
      </c>
      <c r="G468" s="14">
        <v>2980</v>
      </c>
      <c r="H468" s="28">
        <v>115</v>
      </c>
      <c r="I468" s="136">
        <v>126</v>
      </c>
      <c r="J468" s="27" t="s">
        <v>2318</v>
      </c>
      <c r="K468" s="28">
        <v>980</v>
      </c>
      <c r="L468" s="28" t="s">
        <v>566</v>
      </c>
      <c r="M468" s="38" t="s">
        <v>1856</v>
      </c>
      <c r="N468" s="100" t="s">
        <v>2092</v>
      </c>
      <c r="O468" s="153" t="s">
        <v>1260</v>
      </c>
      <c r="P468" s="153" t="s">
        <v>1260</v>
      </c>
    </row>
    <row r="469" spans="3:16" ht="15.75" thickBot="1">
      <c r="C469" s="2"/>
      <c r="D469" s="13" t="s">
        <v>2328</v>
      </c>
      <c r="E469" s="14">
        <v>1000</v>
      </c>
      <c r="F469" s="15">
        <v>1350</v>
      </c>
      <c r="G469" s="14">
        <v>2758</v>
      </c>
      <c r="H469" s="28">
        <v>87</v>
      </c>
      <c r="I469" s="136">
        <v>96</v>
      </c>
      <c r="J469" s="27" t="s">
        <v>2318</v>
      </c>
      <c r="K469" s="28">
        <v>980</v>
      </c>
      <c r="L469" s="28" t="s">
        <v>566</v>
      </c>
      <c r="M469" s="38" t="s">
        <v>1856</v>
      </c>
      <c r="N469" s="100" t="s">
        <v>2092</v>
      </c>
      <c r="O469" s="153" t="s">
        <v>1260</v>
      </c>
      <c r="P469" s="153" t="s">
        <v>1260</v>
      </c>
    </row>
    <row r="470" spans="3:16" ht="15.75" thickBot="1">
      <c r="C470" s="2"/>
      <c r="D470" s="13" t="s">
        <v>2329</v>
      </c>
      <c r="E470" s="14">
        <v>630</v>
      </c>
      <c r="F470" s="15">
        <v>850</v>
      </c>
      <c r="G470" s="14">
        <v>2536</v>
      </c>
      <c r="H470" s="28">
        <v>56</v>
      </c>
      <c r="I470" s="136">
        <v>61</v>
      </c>
      <c r="J470" s="27" t="s">
        <v>2318</v>
      </c>
      <c r="K470" s="28">
        <v>980</v>
      </c>
      <c r="L470" s="28" t="s">
        <v>566</v>
      </c>
      <c r="M470" s="38" t="s">
        <v>1856</v>
      </c>
      <c r="N470" s="100" t="s">
        <v>2092</v>
      </c>
      <c r="O470" s="153" t="s">
        <v>1260</v>
      </c>
      <c r="P470" s="153" t="s">
        <v>1260</v>
      </c>
    </row>
    <row r="471" spans="3:16" ht="15.75" thickBot="1">
      <c r="C471" s="2"/>
      <c r="D471" s="13" t="s">
        <v>2330</v>
      </c>
      <c r="E471" s="14">
        <v>1250</v>
      </c>
      <c r="F471" s="15">
        <v>1680</v>
      </c>
      <c r="G471" s="14">
        <v>2690</v>
      </c>
      <c r="H471" s="28">
        <v>116</v>
      </c>
      <c r="I471" s="136">
        <v>127</v>
      </c>
      <c r="J471" s="27" t="s">
        <v>2318</v>
      </c>
      <c r="K471" s="28">
        <v>980</v>
      </c>
      <c r="L471" s="28" t="s">
        <v>566</v>
      </c>
      <c r="M471" s="38" t="s">
        <v>1856</v>
      </c>
      <c r="N471" s="100" t="s">
        <v>2092</v>
      </c>
      <c r="O471" s="153" t="s">
        <v>1260</v>
      </c>
      <c r="P471" s="153" t="s">
        <v>1260</v>
      </c>
    </row>
    <row r="472" spans="3:16" ht="15.75" thickBot="1">
      <c r="C472" s="2"/>
      <c r="D472" s="13" t="s">
        <v>2331</v>
      </c>
      <c r="E472" s="14">
        <v>1120</v>
      </c>
      <c r="F472" s="15">
        <v>1500</v>
      </c>
      <c r="G472" s="14">
        <v>2529</v>
      </c>
      <c r="H472" s="28">
        <v>102</v>
      </c>
      <c r="I472" s="136">
        <v>112</v>
      </c>
      <c r="J472" s="27" t="s">
        <v>2318</v>
      </c>
      <c r="K472" s="28">
        <v>980</v>
      </c>
      <c r="L472" s="28" t="s">
        <v>566</v>
      </c>
      <c r="M472" s="38" t="s">
        <v>1856</v>
      </c>
      <c r="N472" s="100" t="s">
        <v>2092</v>
      </c>
      <c r="O472" s="153" t="s">
        <v>1260</v>
      </c>
      <c r="P472" s="153" t="s">
        <v>1260</v>
      </c>
    </row>
    <row r="473" spans="3:16" ht="15.75" thickBot="1">
      <c r="C473" s="2"/>
      <c r="D473" s="13" t="s">
        <v>2332</v>
      </c>
      <c r="E473" s="14">
        <v>800</v>
      </c>
      <c r="F473" s="15">
        <v>1080</v>
      </c>
      <c r="G473" s="14">
        <v>2340</v>
      </c>
      <c r="H473" s="28">
        <v>78</v>
      </c>
      <c r="I473" s="136">
        <v>85</v>
      </c>
      <c r="J473" s="27" t="s">
        <v>2318</v>
      </c>
      <c r="K473" s="28">
        <v>980</v>
      </c>
      <c r="L473" s="28" t="s">
        <v>566</v>
      </c>
      <c r="M473" s="38" t="s">
        <v>1856</v>
      </c>
      <c r="N473" s="100" t="s">
        <v>2092</v>
      </c>
      <c r="O473" s="153" t="s">
        <v>1260</v>
      </c>
      <c r="P473" s="153" t="s">
        <v>1260</v>
      </c>
    </row>
    <row r="474" spans="3:16" ht="15.75" thickBot="1">
      <c r="C474" s="2"/>
      <c r="D474" s="13" t="s">
        <v>2333</v>
      </c>
      <c r="E474" s="14">
        <v>450</v>
      </c>
      <c r="F474" s="15">
        <v>600</v>
      </c>
      <c r="G474" s="14">
        <v>2152</v>
      </c>
      <c r="H474" s="28">
        <v>50</v>
      </c>
      <c r="I474" s="136">
        <v>54</v>
      </c>
      <c r="J474" s="27" t="s">
        <v>2318</v>
      </c>
      <c r="K474" s="28">
        <v>980</v>
      </c>
      <c r="L474" s="28" t="s">
        <v>566</v>
      </c>
      <c r="M474" s="38" t="s">
        <v>1856</v>
      </c>
      <c r="N474" s="100" t="s">
        <v>2092</v>
      </c>
      <c r="O474" s="153" t="s">
        <v>1260</v>
      </c>
      <c r="P474" s="153" t="s">
        <v>1260</v>
      </c>
    </row>
    <row r="475" spans="3:16" ht="15.75" thickBot="1">
      <c r="C475" s="2"/>
      <c r="D475" s="13" t="s">
        <v>2334</v>
      </c>
      <c r="E475" s="14">
        <v>280</v>
      </c>
      <c r="F475" s="15">
        <v>380</v>
      </c>
      <c r="G475" s="14">
        <v>2690</v>
      </c>
      <c r="H475" s="28">
        <v>30</v>
      </c>
      <c r="I475" s="136">
        <v>38</v>
      </c>
      <c r="J475" s="27" t="s">
        <v>2335</v>
      </c>
      <c r="K475" s="28">
        <v>1480</v>
      </c>
      <c r="L475" s="28" t="s">
        <v>566</v>
      </c>
      <c r="M475" s="38" t="s">
        <v>1830</v>
      </c>
      <c r="N475" s="100" t="s">
        <v>1831</v>
      </c>
      <c r="O475" s="153" t="s">
        <v>1260</v>
      </c>
      <c r="P475" s="153" t="s">
        <v>1260</v>
      </c>
    </row>
    <row r="476" spans="3:16" ht="15.75" thickBot="1">
      <c r="C476" s="2"/>
      <c r="D476" s="13" t="s">
        <v>2336</v>
      </c>
      <c r="E476" s="14">
        <v>250</v>
      </c>
      <c r="F476" s="15">
        <v>340</v>
      </c>
      <c r="G476" s="14">
        <v>2529</v>
      </c>
      <c r="H476" s="28">
        <v>27</v>
      </c>
      <c r="I476" s="136">
        <v>34</v>
      </c>
      <c r="J476" s="27" t="s">
        <v>2335</v>
      </c>
      <c r="K476" s="28">
        <v>1480</v>
      </c>
      <c r="L476" s="28" t="s">
        <v>566</v>
      </c>
      <c r="M476" s="38" t="s">
        <v>1830</v>
      </c>
      <c r="N476" s="100" t="s">
        <v>1831</v>
      </c>
      <c r="O476" s="153" t="s">
        <v>1260</v>
      </c>
      <c r="P476" s="153" t="s">
        <v>1260</v>
      </c>
    </row>
    <row r="477" spans="3:16" ht="15.75" thickBot="1">
      <c r="C477" s="2"/>
      <c r="D477" s="13" t="s">
        <v>2337</v>
      </c>
      <c r="E477" s="14">
        <v>200</v>
      </c>
      <c r="F477" s="15">
        <v>270</v>
      </c>
      <c r="G477" s="14">
        <v>2399</v>
      </c>
      <c r="H477" s="28">
        <v>21</v>
      </c>
      <c r="I477" s="136">
        <v>27</v>
      </c>
      <c r="J477" s="27" t="s">
        <v>2335</v>
      </c>
      <c r="K477" s="28">
        <v>1480</v>
      </c>
      <c r="L477" s="28" t="s">
        <v>566</v>
      </c>
      <c r="M477" s="38" t="s">
        <v>1830</v>
      </c>
      <c r="N477" s="100" t="s">
        <v>1831</v>
      </c>
      <c r="O477" s="153" t="s">
        <v>1260</v>
      </c>
      <c r="P477" s="153" t="s">
        <v>1260</v>
      </c>
    </row>
    <row r="478" spans="3:16" ht="15.75" thickBot="1">
      <c r="C478" s="2"/>
      <c r="D478" s="13" t="s">
        <v>2338</v>
      </c>
      <c r="E478" s="14">
        <v>220</v>
      </c>
      <c r="F478" s="15">
        <v>300</v>
      </c>
      <c r="G478" s="14">
        <v>2306</v>
      </c>
      <c r="H478" s="28">
        <v>27</v>
      </c>
      <c r="I478" s="136">
        <v>34</v>
      </c>
      <c r="J478" s="27" t="s">
        <v>2335</v>
      </c>
      <c r="K478" s="28">
        <v>1480</v>
      </c>
      <c r="L478" s="28" t="s">
        <v>566</v>
      </c>
      <c r="M478" s="38" t="s">
        <v>1830</v>
      </c>
      <c r="N478" s="100" t="s">
        <v>1831</v>
      </c>
      <c r="O478" s="153" t="s">
        <v>1260</v>
      </c>
      <c r="P478" s="153" t="s">
        <v>1260</v>
      </c>
    </row>
    <row r="479" spans="3:16" ht="15.75" thickBot="1">
      <c r="C479" s="2"/>
      <c r="D479" s="13" t="s">
        <v>2339</v>
      </c>
      <c r="E479" s="14">
        <v>200</v>
      </c>
      <c r="F479" s="15">
        <v>270</v>
      </c>
      <c r="G479" s="14">
        <v>2168</v>
      </c>
      <c r="H479" s="28">
        <v>24</v>
      </c>
      <c r="I479" s="136">
        <v>30</v>
      </c>
      <c r="J479" s="27" t="s">
        <v>2335</v>
      </c>
      <c r="K479" s="28">
        <v>1480</v>
      </c>
      <c r="L479" s="28" t="s">
        <v>566</v>
      </c>
      <c r="M479" s="38" t="s">
        <v>1830</v>
      </c>
      <c r="N479" s="100" t="s">
        <v>1831</v>
      </c>
      <c r="O479" s="153" t="s">
        <v>1260</v>
      </c>
      <c r="P479" s="153" t="s">
        <v>1260</v>
      </c>
    </row>
    <row r="480" spans="3:16" ht="15.75" thickBot="1">
      <c r="C480" s="2"/>
      <c r="D480" s="13" t="s">
        <v>2340</v>
      </c>
      <c r="E480" s="14">
        <v>160</v>
      </c>
      <c r="F480" s="15">
        <v>220</v>
      </c>
      <c r="G480" s="14">
        <v>2057</v>
      </c>
      <c r="H480" s="28">
        <v>19</v>
      </c>
      <c r="I480" s="136">
        <v>24</v>
      </c>
      <c r="J480" s="27" t="s">
        <v>2335</v>
      </c>
      <c r="K480" s="28">
        <v>1480</v>
      </c>
      <c r="L480" s="28" t="s">
        <v>566</v>
      </c>
      <c r="M480" s="38" t="s">
        <v>1830</v>
      </c>
      <c r="N480" s="100" t="s">
        <v>1831</v>
      </c>
      <c r="O480" s="153" t="s">
        <v>1260</v>
      </c>
      <c r="P480" s="153" t="s">
        <v>1260</v>
      </c>
    </row>
    <row r="481" spans="3:16" ht="15.75" thickBot="1">
      <c r="C481" s="2"/>
      <c r="D481" s="13" t="s">
        <v>2341</v>
      </c>
      <c r="E481" s="14">
        <v>90</v>
      </c>
      <c r="F481" s="15">
        <v>125</v>
      </c>
      <c r="G481" s="14">
        <v>2020</v>
      </c>
      <c r="H481" s="28">
        <v>13</v>
      </c>
      <c r="I481" s="136">
        <v>17</v>
      </c>
      <c r="J481" s="27" t="s">
        <v>2342</v>
      </c>
      <c r="K481" s="28">
        <v>980</v>
      </c>
      <c r="L481" s="28" t="s">
        <v>566</v>
      </c>
      <c r="M481" s="38" t="s">
        <v>1830</v>
      </c>
      <c r="N481" s="100" t="s">
        <v>1831</v>
      </c>
      <c r="O481" s="153" t="s">
        <v>1260</v>
      </c>
      <c r="P481" s="153" t="s">
        <v>1260</v>
      </c>
    </row>
    <row r="482" spans="3:16" ht="15.75" thickBot="1">
      <c r="C482" s="2"/>
      <c r="D482" s="13" t="s">
        <v>2343</v>
      </c>
      <c r="E482" s="14">
        <v>90</v>
      </c>
      <c r="F482" s="15">
        <v>125</v>
      </c>
      <c r="G482" s="14">
        <v>1939</v>
      </c>
      <c r="H482" s="28">
        <v>12</v>
      </c>
      <c r="I482" s="136">
        <v>16</v>
      </c>
      <c r="J482" s="27" t="s">
        <v>2342</v>
      </c>
      <c r="K482" s="28">
        <v>980</v>
      </c>
      <c r="L482" s="28" t="s">
        <v>566</v>
      </c>
      <c r="M482" s="38" t="s">
        <v>1830</v>
      </c>
      <c r="N482" s="100" t="s">
        <v>1831</v>
      </c>
      <c r="O482" s="153" t="s">
        <v>1260</v>
      </c>
      <c r="P482" s="153" t="s">
        <v>1260</v>
      </c>
    </row>
    <row r="483" spans="3:16" ht="15.75" thickBot="1">
      <c r="C483" s="2"/>
      <c r="D483" s="13" t="s">
        <v>2344</v>
      </c>
      <c r="E483" s="14">
        <v>75</v>
      </c>
      <c r="F483" s="15">
        <v>100</v>
      </c>
      <c r="G483" s="14">
        <v>1858</v>
      </c>
      <c r="H483" s="28">
        <v>11</v>
      </c>
      <c r="I483" s="136">
        <v>14</v>
      </c>
      <c r="J483" s="27" t="s">
        <v>2342</v>
      </c>
      <c r="K483" s="28">
        <v>980</v>
      </c>
      <c r="L483" s="28" t="s">
        <v>566</v>
      </c>
      <c r="M483" s="38" t="s">
        <v>1830</v>
      </c>
      <c r="N483" s="100" t="s">
        <v>1831</v>
      </c>
      <c r="O483" s="153" t="s">
        <v>1260</v>
      </c>
      <c r="P483" s="153" t="s">
        <v>1260</v>
      </c>
    </row>
    <row r="484" spans="3:16" ht="15.75" thickBot="1">
      <c r="C484" s="2"/>
      <c r="D484" s="13" t="s">
        <v>2345</v>
      </c>
      <c r="E484" s="14">
        <v>75</v>
      </c>
      <c r="F484" s="15">
        <v>100</v>
      </c>
      <c r="G484" s="14">
        <v>1720</v>
      </c>
      <c r="H484" s="28">
        <v>12</v>
      </c>
      <c r="I484" s="136">
        <v>15</v>
      </c>
      <c r="J484" s="27" t="s">
        <v>2342</v>
      </c>
      <c r="K484" s="28">
        <v>980</v>
      </c>
      <c r="L484" s="28" t="s">
        <v>566</v>
      </c>
      <c r="M484" s="38" t="s">
        <v>1830</v>
      </c>
      <c r="N484" s="100" t="s">
        <v>1831</v>
      </c>
      <c r="O484" s="153" t="s">
        <v>1260</v>
      </c>
      <c r="P484" s="153" t="s">
        <v>1260</v>
      </c>
    </row>
    <row r="485" spans="3:16" ht="15.75" thickBot="1">
      <c r="C485" s="2"/>
      <c r="D485" s="13" t="s">
        <v>2346</v>
      </c>
      <c r="E485" s="14">
        <v>75</v>
      </c>
      <c r="F485" s="15">
        <v>100</v>
      </c>
      <c r="G485" s="14">
        <v>1651</v>
      </c>
      <c r="H485" s="28">
        <v>11</v>
      </c>
      <c r="I485" s="136">
        <v>14</v>
      </c>
      <c r="J485" s="27" t="s">
        <v>2342</v>
      </c>
      <c r="K485" s="28">
        <v>980</v>
      </c>
      <c r="L485" s="28" t="s">
        <v>566</v>
      </c>
      <c r="M485" s="38" t="s">
        <v>1830</v>
      </c>
      <c r="N485" s="100" t="s">
        <v>1831</v>
      </c>
      <c r="O485" s="153" t="s">
        <v>1260</v>
      </c>
      <c r="P485" s="153" t="s">
        <v>1260</v>
      </c>
    </row>
    <row r="486" spans="3:16" ht="15.75" thickBot="1">
      <c r="C486" s="2"/>
      <c r="D486" s="13" t="s">
        <v>2347</v>
      </c>
      <c r="E486" s="14">
        <v>55</v>
      </c>
      <c r="F486" s="15">
        <v>75</v>
      </c>
      <c r="G486" s="14">
        <v>1582</v>
      </c>
      <c r="H486" s="28">
        <v>10</v>
      </c>
      <c r="I486" s="136">
        <v>13</v>
      </c>
      <c r="J486" s="27" t="s">
        <v>2342</v>
      </c>
      <c r="K486" s="28">
        <v>980</v>
      </c>
      <c r="L486" s="28" t="s">
        <v>566</v>
      </c>
      <c r="M486" s="38" t="s">
        <v>1830</v>
      </c>
      <c r="N486" s="100" t="s">
        <v>1831</v>
      </c>
      <c r="O486" s="153" t="s">
        <v>1260</v>
      </c>
      <c r="P486" s="153" t="s">
        <v>1260</v>
      </c>
    </row>
    <row r="487" spans="3:16" ht="15.75" thickBot="1">
      <c r="C487" s="2"/>
      <c r="D487" s="13" t="s">
        <v>2348</v>
      </c>
      <c r="E487" s="14">
        <v>560</v>
      </c>
      <c r="F487" s="15">
        <v>750</v>
      </c>
      <c r="G487" s="14">
        <v>4200</v>
      </c>
      <c r="H487" s="28">
        <v>38</v>
      </c>
      <c r="I487" s="136">
        <v>50</v>
      </c>
      <c r="J487" s="27" t="s">
        <v>2349</v>
      </c>
      <c r="K487" s="28">
        <v>1480</v>
      </c>
      <c r="L487" s="28" t="s">
        <v>566</v>
      </c>
      <c r="M487" s="38" t="s">
        <v>1830</v>
      </c>
      <c r="N487" s="100" t="s">
        <v>2092</v>
      </c>
      <c r="O487" s="153" t="s">
        <v>1260</v>
      </c>
      <c r="P487" s="153" t="s">
        <v>1260</v>
      </c>
    </row>
    <row r="488" spans="3:16" ht="15.75" thickBot="1">
      <c r="C488" s="2"/>
      <c r="D488" s="13" t="s">
        <v>2350</v>
      </c>
      <c r="E488" s="14">
        <v>500</v>
      </c>
      <c r="F488" s="15">
        <v>670</v>
      </c>
      <c r="G488" s="14">
        <v>3948</v>
      </c>
      <c r="H488" s="28">
        <v>34</v>
      </c>
      <c r="I488" s="136">
        <v>44</v>
      </c>
      <c r="J488" s="27" t="s">
        <v>2349</v>
      </c>
      <c r="K488" s="28">
        <v>1480</v>
      </c>
      <c r="L488" s="28" t="s">
        <v>566</v>
      </c>
      <c r="M488" s="38" t="s">
        <v>1830</v>
      </c>
      <c r="N488" s="100" t="s">
        <v>2092</v>
      </c>
      <c r="O488" s="153" t="s">
        <v>1260</v>
      </c>
      <c r="P488" s="153" t="s">
        <v>1260</v>
      </c>
    </row>
    <row r="489" spans="3:16" ht="15.75" thickBot="1">
      <c r="C489" s="2"/>
      <c r="D489" s="13" t="s">
        <v>2351</v>
      </c>
      <c r="E489" s="14">
        <v>400</v>
      </c>
      <c r="F489" s="15">
        <v>540</v>
      </c>
      <c r="G489" s="14">
        <v>3746</v>
      </c>
      <c r="H489" s="28">
        <v>27</v>
      </c>
      <c r="I489" s="136">
        <v>35</v>
      </c>
      <c r="J489" s="27" t="s">
        <v>2349</v>
      </c>
      <c r="K489" s="28">
        <v>1480</v>
      </c>
      <c r="L489" s="28" t="s">
        <v>566</v>
      </c>
      <c r="M489" s="38" t="s">
        <v>1830</v>
      </c>
      <c r="N489" s="100" t="s">
        <v>2092</v>
      </c>
      <c r="O489" s="153" t="s">
        <v>1260</v>
      </c>
      <c r="P489" s="153" t="s">
        <v>1260</v>
      </c>
    </row>
    <row r="490" spans="3:16" ht="15.75" thickBot="1">
      <c r="C490" s="2"/>
      <c r="D490" s="13" t="s">
        <v>2352</v>
      </c>
      <c r="E490" s="14">
        <v>450</v>
      </c>
      <c r="F490" s="15">
        <v>600</v>
      </c>
      <c r="G490" s="14">
        <v>3601</v>
      </c>
      <c r="H490" s="28">
        <v>34</v>
      </c>
      <c r="I490" s="136">
        <v>45</v>
      </c>
      <c r="J490" s="27" t="s">
        <v>2349</v>
      </c>
      <c r="K490" s="28">
        <v>1480</v>
      </c>
      <c r="L490" s="28" t="s">
        <v>566</v>
      </c>
      <c r="M490" s="38" t="s">
        <v>1830</v>
      </c>
      <c r="N490" s="100" t="s">
        <v>2092</v>
      </c>
      <c r="O490" s="153" t="s">
        <v>1260</v>
      </c>
      <c r="P490" s="153" t="s">
        <v>1260</v>
      </c>
    </row>
    <row r="491" spans="3:16" ht="15.75" thickBot="1">
      <c r="C491" s="2"/>
      <c r="D491" s="13" t="s">
        <v>2353</v>
      </c>
      <c r="E491" s="14">
        <v>400</v>
      </c>
      <c r="F491" s="15">
        <v>540</v>
      </c>
      <c r="G491" s="14">
        <v>3385</v>
      </c>
      <c r="H491" s="28">
        <v>30</v>
      </c>
      <c r="I491" s="136">
        <v>40</v>
      </c>
      <c r="J491" s="27" t="s">
        <v>2349</v>
      </c>
      <c r="K491" s="28">
        <v>1480</v>
      </c>
      <c r="L491" s="28" t="s">
        <v>566</v>
      </c>
      <c r="M491" s="38" t="s">
        <v>1830</v>
      </c>
      <c r="N491" s="100" t="s">
        <v>2092</v>
      </c>
      <c r="O491" s="153" t="s">
        <v>1260</v>
      </c>
      <c r="P491" s="153" t="s">
        <v>1260</v>
      </c>
    </row>
    <row r="492" spans="3:16" ht="15.75" thickBot="1">
      <c r="C492" s="2"/>
      <c r="D492" s="13" t="s">
        <v>2354</v>
      </c>
      <c r="E492" s="14">
        <v>315</v>
      </c>
      <c r="F492" s="15">
        <v>430</v>
      </c>
      <c r="G492" s="14">
        <v>3212</v>
      </c>
      <c r="H492" s="28">
        <v>24</v>
      </c>
      <c r="I492" s="136">
        <v>32</v>
      </c>
      <c r="J492" s="27" t="s">
        <v>2349</v>
      </c>
      <c r="K492" s="28">
        <v>1480</v>
      </c>
      <c r="L492" s="28" t="s">
        <v>566</v>
      </c>
      <c r="M492" s="38" t="s">
        <v>1830</v>
      </c>
      <c r="N492" s="100" t="s">
        <v>1831</v>
      </c>
      <c r="O492" s="153" t="s">
        <v>1260</v>
      </c>
      <c r="P492" s="153" t="s">
        <v>1260</v>
      </c>
    </row>
    <row r="493" spans="3:16" ht="15.75" thickBot="1">
      <c r="C493" s="2"/>
      <c r="D493" s="13" t="s">
        <v>2355</v>
      </c>
      <c r="E493" s="14">
        <v>250</v>
      </c>
      <c r="F493" s="15">
        <v>340</v>
      </c>
      <c r="G493" s="14">
        <v>3170</v>
      </c>
      <c r="H493" s="28">
        <v>22</v>
      </c>
      <c r="I493" s="136">
        <v>28</v>
      </c>
      <c r="J493" s="27" t="s">
        <v>2349</v>
      </c>
      <c r="K493" s="28">
        <v>980</v>
      </c>
      <c r="L493" s="28" t="s">
        <v>566</v>
      </c>
      <c r="M493" s="38" t="s">
        <v>1830</v>
      </c>
      <c r="N493" s="100" t="s">
        <v>1831</v>
      </c>
      <c r="O493" s="153" t="s">
        <v>1260</v>
      </c>
      <c r="P493" s="153" t="s">
        <v>1260</v>
      </c>
    </row>
    <row r="494" spans="3:16" ht="15.75" thickBot="1">
      <c r="C494" s="2"/>
      <c r="D494" s="13" t="s">
        <v>2356</v>
      </c>
      <c r="E494" s="14">
        <v>220</v>
      </c>
      <c r="F494" s="15">
        <v>300</v>
      </c>
      <c r="G494" s="14">
        <v>3043</v>
      </c>
      <c r="H494" s="28">
        <v>20</v>
      </c>
      <c r="I494" s="136">
        <v>26</v>
      </c>
      <c r="J494" s="27" t="s">
        <v>2349</v>
      </c>
      <c r="K494" s="28">
        <v>980</v>
      </c>
      <c r="L494" s="28" t="s">
        <v>566</v>
      </c>
      <c r="M494" s="38" t="s">
        <v>1830</v>
      </c>
      <c r="N494" s="100" t="s">
        <v>1831</v>
      </c>
      <c r="O494" s="153" t="s">
        <v>1260</v>
      </c>
      <c r="P494" s="153" t="s">
        <v>1260</v>
      </c>
    </row>
    <row r="495" spans="3:16" ht="15.75" thickBot="1">
      <c r="C495" s="2"/>
      <c r="D495" s="13" t="s">
        <v>2357</v>
      </c>
      <c r="E495" s="14">
        <v>200</v>
      </c>
      <c r="F495" s="15">
        <v>270</v>
      </c>
      <c r="G495" s="14">
        <v>2916</v>
      </c>
      <c r="H495" s="28">
        <v>19</v>
      </c>
      <c r="I495" s="136">
        <v>24</v>
      </c>
      <c r="J495" s="27" t="s">
        <v>2349</v>
      </c>
      <c r="K495" s="28">
        <v>980</v>
      </c>
      <c r="L495" s="28" t="s">
        <v>566</v>
      </c>
      <c r="M495" s="38" t="s">
        <v>1830</v>
      </c>
      <c r="N495" s="100" t="s">
        <v>1831</v>
      </c>
      <c r="O495" s="153" t="s">
        <v>1260</v>
      </c>
      <c r="P495" s="153" t="s">
        <v>1260</v>
      </c>
    </row>
    <row r="496" spans="3:16" ht="15.75" thickBot="1">
      <c r="C496" s="2"/>
      <c r="D496" s="13" t="s">
        <v>2358</v>
      </c>
      <c r="E496" s="14">
        <v>200</v>
      </c>
      <c r="F496" s="15">
        <v>270</v>
      </c>
      <c r="G496" s="14">
        <v>2690</v>
      </c>
      <c r="H496" s="28">
        <v>20</v>
      </c>
      <c r="I496" s="136">
        <v>25</v>
      </c>
      <c r="J496" s="27" t="s">
        <v>2349</v>
      </c>
      <c r="K496" s="28">
        <v>980</v>
      </c>
      <c r="L496" s="28" t="s">
        <v>566</v>
      </c>
      <c r="M496" s="38" t="s">
        <v>1830</v>
      </c>
      <c r="N496" s="100" t="s">
        <v>1831</v>
      </c>
      <c r="O496" s="153" t="s">
        <v>1260</v>
      </c>
      <c r="P496" s="153" t="s">
        <v>1260</v>
      </c>
    </row>
    <row r="497" spans="3:16" ht="15.75" thickBot="1">
      <c r="C497" s="2"/>
      <c r="D497" s="13" t="s">
        <v>2359</v>
      </c>
      <c r="E497" s="14">
        <v>160</v>
      </c>
      <c r="F497" s="15">
        <v>220</v>
      </c>
      <c r="G497" s="14">
        <v>2556</v>
      </c>
      <c r="H497" s="28">
        <v>18</v>
      </c>
      <c r="I497" s="136">
        <v>23</v>
      </c>
      <c r="J497" s="27" t="s">
        <v>2349</v>
      </c>
      <c r="K497" s="28">
        <v>980</v>
      </c>
      <c r="L497" s="28" t="s">
        <v>566</v>
      </c>
      <c r="M497" s="38" t="s">
        <v>1830</v>
      </c>
      <c r="N497" s="100" t="s">
        <v>1831</v>
      </c>
      <c r="O497" s="153" t="s">
        <v>1260</v>
      </c>
      <c r="P497" s="153" t="s">
        <v>1260</v>
      </c>
    </row>
    <row r="498" spans="3:16" ht="15.75" thickBot="1">
      <c r="C498" s="2"/>
      <c r="D498" s="13" t="s">
        <v>2360</v>
      </c>
      <c r="E498" s="14">
        <v>132</v>
      </c>
      <c r="F498" s="15">
        <v>180</v>
      </c>
      <c r="G498" s="14">
        <v>2394</v>
      </c>
      <c r="H498" s="28">
        <v>16</v>
      </c>
      <c r="I498" s="136">
        <v>20</v>
      </c>
      <c r="J498" s="27" t="s">
        <v>2349</v>
      </c>
      <c r="K498" s="28">
        <v>980</v>
      </c>
      <c r="L498" s="28" t="s">
        <v>566</v>
      </c>
      <c r="M498" s="38" t="s">
        <v>1830</v>
      </c>
      <c r="N498" s="100" t="s">
        <v>1831</v>
      </c>
      <c r="O498" s="153" t="s">
        <v>1260</v>
      </c>
      <c r="P498" s="153" t="s">
        <v>1260</v>
      </c>
    </row>
    <row r="499" spans="3:16" ht="15.75" thickBot="1">
      <c r="C499" s="2"/>
      <c r="D499" s="13" t="s">
        <v>2361</v>
      </c>
      <c r="E499" s="14">
        <v>355</v>
      </c>
      <c r="F499" s="15">
        <v>480</v>
      </c>
      <c r="G499" s="14">
        <v>3170</v>
      </c>
      <c r="H499" s="28">
        <v>32</v>
      </c>
      <c r="I499" s="136">
        <v>37</v>
      </c>
      <c r="J499" s="27" t="s">
        <v>2349</v>
      </c>
      <c r="K499" s="28">
        <v>980</v>
      </c>
      <c r="L499" s="28" t="s">
        <v>566</v>
      </c>
      <c r="M499" s="38" t="s">
        <v>1830</v>
      </c>
      <c r="N499" s="100" t="s">
        <v>2092</v>
      </c>
      <c r="O499" s="153" t="s">
        <v>1260</v>
      </c>
      <c r="P499" s="153" t="s">
        <v>1260</v>
      </c>
    </row>
    <row r="500" spans="3:16" ht="15.75" thickBot="1">
      <c r="C500" s="2"/>
      <c r="D500" s="13" t="s">
        <v>2362</v>
      </c>
      <c r="E500" s="14">
        <v>315</v>
      </c>
      <c r="F500" s="15">
        <v>430</v>
      </c>
      <c r="G500" s="14">
        <v>2980</v>
      </c>
      <c r="H500" s="28">
        <v>28</v>
      </c>
      <c r="I500" s="136">
        <v>33</v>
      </c>
      <c r="J500" s="27" t="s">
        <v>2349</v>
      </c>
      <c r="K500" s="28">
        <v>980</v>
      </c>
      <c r="L500" s="28" t="s">
        <v>566</v>
      </c>
      <c r="M500" s="38" t="s">
        <v>1830</v>
      </c>
      <c r="N500" s="100" t="s">
        <v>2092</v>
      </c>
      <c r="O500" s="153" t="s">
        <v>1260</v>
      </c>
      <c r="P500" s="153" t="s">
        <v>1260</v>
      </c>
    </row>
    <row r="501" spans="3:16" ht="15.75" thickBot="1">
      <c r="C501" s="2"/>
      <c r="D501" s="13" t="s">
        <v>2363</v>
      </c>
      <c r="E501" s="14">
        <v>220</v>
      </c>
      <c r="F501" s="15">
        <v>300</v>
      </c>
      <c r="G501" s="14">
        <v>2828</v>
      </c>
      <c r="H501" s="28">
        <v>22</v>
      </c>
      <c r="I501" s="136">
        <v>26</v>
      </c>
      <c r="J501" s="27" t="s">
        <v>2349</v>
      </c>
      <c r="K501" s="28">
        <v>980</v>
      </c>
      <c r="L501" s="28" t="s">
        <v>566</v>
      </c>
      <c r="M501" s="38" t="s">
        <v>1830</v>
      </c>
      <c r="N501" s="100" t="s">
        <v>1831</v>
      </c>
      <c r="O501" s="153" t="s">
        <v>1260</v>
      </c>
      <c r="P501" s="153" t="s">
        <v>1260</v>
      </c>
    </row>
    <row r="502" spans="3:16" ht="15.75" thickBot="1">
      <c r="C502" s="2"/>
      <c r="D502" s="13" t="s">
        <v>2364</v>
      </c>
      <c r="E502" s="14">
        <v>160</v>
      </c>
      <c r="F502" s="15">
        <v>220</v>
      </c>
      <c r="G502" s="14">
        <v>2672</v>
      </c>
      <c r="H502" s="28">
        <v>16</v>
      </c>
      <c r="I502" s="136">
        <v>18</v>
      </c>
      <c r="J502" s="27" t="s">
        <v>2349</v>
      </c>
      <c r="K502" s="28">
        <v>980</v>
      </c>
      <c r="L502" s="28" t="s">
        <v>566</v>
      </c>
      <c r="M502" s="38" t="s">
        <v>1830</v>
      </c>
      <c r="N502" s="100" t="s">
        <v>1831</v>
      </c>
      <c r="O502" s="153" t="s">
        <v>1260</v>
      </c>
      <c r="P502" s="153" t="s">
        <v>1260</v>
      </c>
    </row>
    <row r="503" spans="3:16" ht="15.75" thickBot="1">
      <c r="C503" s="2"/>
      <c r="D503" s="13" t="s">
        <v>2365</v>
      </c>
      <c r="E503" s="14">
        <v>280</v>
      </c>
      <c r="F503" s="15">
        <v>380</v>
      </c>
      <c r="G503" s="14">
        <v>2690</v>
      </c>
      <c r="H503" s="28">
        <v>28</v>
      </c>
      <c r="I503" s="136">
        <v>32</v>
      </c>
      <c r="J503" s="27" t="s">
        <v>2349</v>
      </c>
      <c r="K503" s="28">
        <v>980</v>
      </c>
      <c r="L503" s="28" t="s">
        <v>566</v>
      </c>
      <c r="M503" s="38" t="s">
        <v>1830</v>
      </c>
      <c r="N503" s="100" t="s">
        <v>1831</v>
      </c>
      <c r="O503" s="153" t="s">
        <v>1260</v>
      </c>
      <c r="P503" s="153" t="s">
        <v>1260</v>
      </c>
    </row>
    <row r="504" spans="3:16" ht="15.75" thickBot="1">
      <c r="C504" s="2"/>
      <c r="D504" s="13" t="s">
        <v>2366</v>
      </c>
      <c r="E504" s="14">
        <v>220</v>
      </c>
      <c r="F504" s="15">
        <v>300</v>
      </c>
      <c r="G504" s="14">
        <v>2529</v>
      </c>
      <c r="H504" s="28">
        <v>25</v>
      </c>
      <c r="I504" s="136">
        <v>28</v>
      </c>
      <c r="J504" s="27" t="s">
        <v>2349</v>
      </c>
      <c r="K504" s="28">
        <v>980</v>
      </c>
      <c r="L504" s="28" t="s">
        <v>566</v>
      </c>
      <c r="M504" s="38" t="s">
        <v>1830</v>
      </c>
      <c r="N504" s="100" t="s">
        <v>1831</v>
      </c>
      <c r="O504" s="153" t="s">
        <v>1260</v>
      </c>
      <c r="P504" s="153" t="s">
        <v>1260</v>
      </c>
    </row>
    <row r="505" spans="3:16" ht="15.75" thickBot="1">
      <c r="C505" s="2"/>
      <c r="D505" s="13" t="s">
        <v>2367</v>
      </c>
      <c r="E505" s="14">
        <v>185</v>
      </c>
      <c r="F505" s="15">
        <v>250</v>
      </c>
      <c r="G505" s="14">
        <v>2399</v>
      </c>
      <c r="H505" s="28">
        <v>20</v>
      </c>
      <c r="I505" s="136">
        <v>22</v>
      </c>
      <c r="J505" s="27" t="s">
        <v>2349</v>
      </c>
      <c r="K505" s="28">
        <v>980</v>
      </c>
      <c r="L505" s="28" t="s">
        <v>566</v>
      </c>
      <c r="M505" s="38" t="s">
        <v>1830</v>
      </c>
      <c r="N505" s="100" t="s">
        <v>1831</v>
      </c>
      <c r="O505" s="153" t="s">
        <v>1260</v>
      </c>
      <c r="P505" s="153" t="s">
        <v>1260</v>
      </c>
    </row>
    <row r="506" spans="3:16" ht="15.75" thickBot="1">
      <c r="C506" s="2"/>
      <c r="D506" s="13" t="s">
        <v>2368</v>
      </c>
      <c r="E506" s="14">
        <v>132</v>
      </c>
      <c r="F506" s="15">
        <v>180</v>
      </c>
      <c r="G506" s="14">
        <v>2268</v>
      </c>
      <c r="H506" s="28">
        <v>14</v>
      </c>
      <c r="I506" s="136">
        <v>16</v>
      </c>
      <c r="J506" s="27" t="s">
        <v>2349</v>
      </c>
      <c r="K506" s="28">
        <v>980</v>
      </c>
      <c r="L506" s="28" t="s">
        <v>566</v>
      </c>
      <c r="M506" s="38" t="s">
        <v>1830</v>
      </c>
      <c r="N506" s="100" t="s">
        <v>1831</v>
      </c>
      <c r="O506" s="153" t="s">
        <v>1260</v>
      </c>
      <c r="P506" s="153" t="s">
        <v>1260</v>
      </c>
    </row>
    <row r="507" spans="3:16" ht="15.75" thickBot="1">
      <c r="C507" s="2"/>
      <c r="D507" s="13" t="s">
        <v>2369</v>
      </c>
      <c r="E507" s="14">
        <v>560</v>
      </c>
      <c r="F507" s="15">
        <v>750</v>
      </c>
      <c r="G507" s="14">
        <v>3170</v>
      </c>
      <c r="H507" s="28">
        <v>47</v>
      </c>
      <c r="I507" s="136">
        <v>56</v>
      </c>
      <c r="J507" s="27" t="s">
        <v>2349</v>
      </c>
      <c r="K507" s="28">
        <v>980</v>
      </c>
      <c r="L507" s="28" t="s">
        <v>566</v>
      </c>
      <c r="M507" s="38" t="s">
        <v>1856</v>
      </c>
      <c r="N507" s="100" t="s">
        <v>2092</v>
      </c>
      <c r="O507" s="153" t="s">
        <v>1260</v>
      </c>
      <c r="P507" s="153" t="s">
        <v>1260</v>
      </c>
    </row>
    <row r="508" spans="3:16" ht="15.75" thickBot="1">
      <c r="C508" s="2"/>
      <c r="D508" s="13" t="s">
        <v>2370</v>
      </c>
      <c r="E508" s="14">
        <v>450</v>
      </c>
      <c r="F508" s="15">
        <v>600</v>
      </c>
      <c r="G508" s="14">
        <v>2980</v>
      </c>
      <c r="H508" s="28">
        <v>42</v>
      </c>
      <c r="I508" s="136">
        <v>49</v>
      </c>
      <c r="J508" s="27" t="s">
        <v>2349</v>
      </c>
      <c r="K508" s="28">
        <v>980</v>
      </c>
      <c r="L508" s="28" t="s">
        <v>566</v>
      </c>
      <c r="M508" s="38" t="s">
        <v>1856</v>
      </c>
      <c r="N508" s="100" t="s">
        <v>2092</v>
      </c>
      <c r="O508" s="153" t="s">
        <v>1260</v>
      </c>
      <c r="P508" s="153" t="s">
        <v>1260</v>
      </c>
    </row>
    <row r="509" spans="3:16" ht="15.75" thickBot="1">
      <c r="C509" s="2"/>
      <c r="D509" s="13" t="s">
        <v>2371</v>
      </c>
      <c r="E509" s="14">
        <v>355</v>
      </c>
      <c r="F509" s="15">
        <v>480</v>
      </c>
      <c r="G509" s="14">
        <v>2790</v>
      </c>
      <c r="H509" s="28">
        <v>32</v>
      </c>
      <c r="I509" s="136">
        <v>38</v>
      </c>
      <c r="J509" s="27" t="s">
        <v>2349</v>
      </c>
      <c r="K509" s="28">
        <v>980</v>
      </c>
      <c r="L509" s="28" t="s">
        <v>566</v>
      </c>
      <c r="M509" s="38" t="s">
        <v>1856</v>
      </c>
      <c r="N509" s="100" t="s">
        <v>2092</v>
      </c>
      <c r="O509" s="153" t="s">
        <v>1260</v>
      </c>
      <c r="P509" s="153" t="s">
        <v>1260</v>
      </c>
    </row>
    <row r="510" spans="3:16" ht="15.75" thickBot="1">
      <c r="C510" s="2"/>
      <c r="D510" s="13" t="s">
        <v>2372</v>
      </c>
      <c r="E510" s="14">
        <v>220</v>
      </c>
      <c r="F510" s="15">
        <v>300</v>
      </c>
      <c r="G510" s="14">
        <v>2596</v>
      </c>
      <c r="H510" s="28">
        <v>22</v>
      </c>
      <c r="I510" s="136">
        <v>26</v>
      </c>
      <c r="J510" s="27" t="s">
        <v>2349</v>
      </c>
      <c r="K510" s="28">
        <v>980</v>
      </c>
      <c r="L510" s="28" t="s">
        <v>566</v>
      </c>
      <c r="M510" s="38" t="s">
        <v>1856</v>
      </c>
      <c r="N510" s="100" t="s">
        <v>1831</v>
      </c>
      <c r="O510" s="153" t="s">
        <v>1260</v>
      </c>
      <c r="P510" s="153" t="s">
        <v>1260</v>
      </c>
    </row>
    <row r="511" spans="3:16" ht="15.75" thickBot="1">
      <c r="C511" s="2"/>
      <c r="D511" s="13" t="s">
        <v>2373</v>
      </c>
      <c r="E511" s="14">
        <v>450</v>
      </c>
      <c r="F511" s="15">
        <v>600</v>
      </c>
      <c r="G511" s="14">
        <v>2690</v>
      </c>
      <c r="H511" s="28">
        <v>43</v>
      </c>
      <c r="I511" s="136">
        <v>51</v>
      </c>
      <c r="J511" s="27" t="s">
        <v>2349</v>
      </c>
      <c r="K511" s="28">
        <v>980</v>
      </c>
      <c r="L511" s="28" t="s">
        <v>566</v>
      </c>
      <c r="M511" s="38" t="s">
        <v>1856</v>
      </c>
      <c r="N511" s="100" t="s">
        <v>2092</v>
      </c>
      <c r="O511" s="153" t="s">
        <v>1260</v>
      </c>
      <c r="P511" s="153" t="s">
        <v>1260</v>
      </c>
    </row>
    <row r="512" spans="3:16" ht="15.75" thickBot="1">
      <c r="C512" s="2"/>
      <c r="D512" s="13" t="s">
        <v>2374</v>
      </c>
      <c r="E512" s="14">
        <v>355</v>
      </c>
      <c r="F512" s="15">
        <v>480</v>
      </c>
      <c r="G512" s="14">
        <v>2529</v>
      </c>
      <c r="H512" s="28">
        <v>38</v>
      </c>
      <c r="I512" s="136">
        <v>45</v>
      </c>
      <c r="J512" s="27" t="s">
        <v>2349</v>
      </c>
      <c r="K512" s="28">
        <v>980</v>
      </c>
      <c r="L512" s="28" t="s">
        <v>566</v>
      </c>
      <c r="M512" s="38" t="s">
        <v>1856</v>
      </c>
      <c r="N512" s="100" t="s">
        <v>2092</v>
      </c>
      <c r="O512" s="153" t="s">
        <v>1260</v>
      </c>
      <c r="P512" s="153" t="s">
        <v>1260</v>
      </c>
    </row>
    <row r="513" spans="3:16" ht="15.75" thickBot="1">
      <c r="C513" s="2"/>
      <c r="D513" s="13" t="s">
        <v>2375</v>
      </c>
      <c r="E513" s="14">
        <v>280</v>
      </c>
      <c r="F513" s="15">
        <v>380</v>
      </c>
      <c r="G513" s="14">
        <v>2367</v>
      </c>
      <c r="H513" s="28">
        <v>29</v>
      </c>
      <c r="I513" s="136">
        <v>35</v>
      </c>
      <c r="J513" s="27" t="s">
        <v>2349</v>
      </c>
      <c r="K513" s="28">
        <v>980</v>
      </c>
      <c r="L513" s="28" t="s">
        <v>566</v>
      </c>
      <c r="M513" s="38" t="s">
        <v>1856</v>
      </c>
      <c r="N513" s="100" t="s">
        <v>1831</v>
      </c>
      <c r="O513" s="153" t="s">
        <v>1260</v>
      </c>
      <c r="P513" s="153" t="s">
        <v>1260</v>
      </c>
    </row>
    <row r="514" spans="3:16" ht="15.75" thickBot="1">
      <c r="C514" s="2"/>
      <c r="D514" s="13" t="s">
        <v>2376</v>
      </c>
      <c r="E514" s="14">
        <v>185</v>
      </c>
      <c r="F514" s="15">
        <v>250</v>
      </c>
      <c r="G514" s="14">
        <v>2203</v>
      </c>
      <c r="H514" s="28">
        <v>20</v>
      </c>
      <c r="I514" s="136">
        <v>23</v>
      </c>
      <c r="J514" s="27" t="s">
        <v>2349</v>
      </c>
      <c r="K514" s="28">
        <v>980</v>
      </c>
      <c r="L514" s="28" t="s">
        <v>566</v>
      </c>
      <c r="M514" s="38" t="s">
        <v>1856</v>
      </c>
      <c r="N514" s="100" t="s">
        <v>1831</v>
      </c>
      <c r="O514" s="153" t="s">
        <v>1260</v>
      </c>
      <c r="P514" s="153" t="s">
        <v>1260</v>
      </c>
    </row>
    <row r="515" spans="3:16" ht="15.75" thickBot="1">
      <c r="C515" s="2"/>
      <c r="D515" s="13" t="s">
        <v>2377</v>
      </c>
      <c r="E515" s="14">
        <v>1000</v>
      </c>
      <c r="F515" s="15">
        <v>1350</v>
      </c>
      <c r="G515" s="14">
        <v>4700</v>
      </c>
      <c r="H515" s="28">
        <v>60</v>
      </c>
      <c r="I515" s="136">
        <v>70</v>
      </c>
      <c r="J515" s="27" t="s">
        <v>2378</v>
      </c>
      <c r="K515" s="28">
        <v>980</v>
      </c>
      <c r="L515" s="28" t="s">
        <v>566</v>
      </c>
      <c r="M515" s="38" t="s">
        <v>1830</v>
      </c>
      <c r="N515" s="100" t="s">
        <v>2092</v>
      </c>
      <c r="O515" s="153" t="s">
        <v>1260</v>
      </c>
      <c r="P515" s="153" t="s">
        <v>1260</v>
      </c>
    </row>
    <row r="516" spans="3:16" ht="15.75" thickBot="1">
      <c r="C516" s="2"/>
      <c r="D516" s="13" t="s">
        <v>2379</v>
      </c>
      <c r="E516" s="14">
        <v>900</v>
      </c>
      <c r="F516" s="15">
        <v>1200</v>
      </c>
      <c r="G516" s="14">
        <v>4418</v>
      </c>
      <c r="H516" s="28">
        <v>53</v>
      </c>
      <c r="I516" s="136">
        <v>62</v>
      </c>
      <c r="J516" s="27" t="s">
        <v>2378</v>
      </c>
      <c r="K516" s="28">
        <v>980</v>
      </c>
      <c r="L516" s="28" t="s">
        <v>566</v>
      </c>
      <c r="M516" s="38" t="s">
        <v>1830</v>
      </c>
      <c r="N516" s="100" t="s">
        <v>2092</v>
      </c>
      <c r="O516" s="153" t="s">
        <v>1260</v>
      </c>
      <c r="P516" s="153" t="s">
        <v>1260</v>
      </c>
    </row>
    <row r="517" spans="3:16" ht="15.75" thickBot="1">
      <c r="C517" s="2"/>
      <c r="D517" s="13" t="s">
        <v>2380</v>
      </c>
      <c r="E517" s="14">
        <v>630</v>
      </c>
      <c r="F517" s="15">
        <v>850</v>
      </c>
      <c r="G517" s="14">
        <v>4136</v>
      </c>
      <c r="H517" s="28">
        <v>41</v>
      </c>
      <c r="I517" s="136">
        <v>48</v>
      </c>
      <c r="J517" s="27" t="s">
        <v>2378</v>
      </c>
      <c r="K517" s="28">
        <v>980</v>
      </c>
      <c r="L517" s="28" t="s">
        <v>566</v>
      </c>
      <c r="M517" s="38" t="s">
        <v>1830</v>
      </c>
      <c r="N517" s="100" t="s">
        <v>2092</v>
      </c>
      <c r="O517" s="153" t="s">
        <v>1260</v>
      </c>
      <c r="P517" s="153" t="s">
        <v>1260</v>
      </c>
    </row>
    <row r="518" spans="3:16" ht="15.75" thickBot="1">
      <c r="C518" s="2"/>
      <c r="D518" s="13" t="s">
        <v>2381</v>
      </c>
      <c r="E518" s="14">
        <v>400</v>
      </c>
      <c r="F518" s="15">
        <v>540</v>
      </c>
      <c r="G518" s="14">
        <v>3849</v>
      </c>
      <c r="H518" s="28">
        <v>28</v>
      </c>
      <c r="I518" s="136">
        <v>32</v>
      </c>
      <c r="J518" s="27" t="s">
        <v>2378</v>
      </c>
      <c r="K518" s="28">
        <v>980</v>
      </c>
      <c r="L518" s="28" t="s">
        <v>566</v>
      </c>
      <c r="M518" s="38" t="s">
        <v>1830</v>
      </c>
      <c r="N518" s="100" t="s">
        <v>2092</v>
      </c>
      <c r="O518" s="153" t="s">
        <v>1260</v>
      </c>
      <c r="P518" s="153" t="s">
        <v>1260</v>
      </c>
    </row>
    <row r="519" spans="3:16" ht="15.75" thickBot="1">
      <c r="C519" s="2"/>
      <c r="D519" s="13" t="s">
        <v>2382</v>
      </c>
      <c r="E519" s="14">
        <v>800</v>
      </c>
      <c r="F519" s="15">
        <v>1080</v>
      </c>
      <c r="G519" s="14">
        <v>4000</v>
      </c>
      <c r="H519" s="28">
        <v>56</v>
      </c>
      <c r="I519" s="136">
        <v>65</v>
      </c>
      <c r="J519" s="27" t="s">
        <v>2378</v>
      </c>
      <c r="K519" s="28">
        <v>980</v>
      </c>
      <c r="L519" s="28" t="s">
        <v>566</v>
      </c>
      <c r="M519" s="38" t="s">
        <v>1830</v>
      </c>
      <c r="N519" s="100" t="s">
        <v>2092</v>
      </c>
      <c r="O519" s="153" t="s">
        <v>1260</v>
      </c>
      <c r="P519" s="153" t="s">
        <v>1260</v>
      </c>
    </row>
    <row r="520" spans="3:16" ht="15.75" thickBot="1">
      <c r="C520" s="2"/>
      <c r="D520" s="13" t="s">
        <v>2383</v>
      </c>
      <c r="E520" s="14">
        <v>710</v>
      </c>
      <c r="F520" s="15">
        <v>950</v>
      </c>
      <c r="G520" s="14">
        <v>3760</v>
      </c>
      <c r="H520" s="28">
        <v>49</v>
      </c>
      <c r="I520" s="136">
        <v>57</v>
      </c>
      <c r="J520" s="27" t="s">
        <v>2378</v>
      </c>
      <c r="K520" s="28">
        <v>980</v>
      </c>
      <c r="L520" s="28" t="s">
        <v>566</v>
      </c>
      <c r="M520" s="38" t="s">
        <v>1830</v>
      </c>
      <c r="N520" s="100" t="s">
        <v>2092</v>
      </c>
      <c r="O520" s="153" t="s">
        <v>1260</v>
      </c>
      <c r="P520" s="153" t="s">
        <v>1260</v>
      </c>
    </row>
    <row r="521" spans="3:16" ht="15.75" thickBot="1">
      <c r="C521" s="2"/>
      <c r="D521" s="13" t="s">
        <v>2384</v>
      </c>
      <c r="E521" s="14">
        <v>500</v>
      </c>
      <c r="F521" s="15">
        <v>670</v>
      </c>
      <c r="G521" s="14">
        <v>3520</v>
      </c>
      <c r="H521" s="28">
        <v>38</v>
      </c>
      <c r="I521" s="136">
        <v>44</v>
      </c>
      <c r="J521" s="27" t="s">
        <v>2378</v>
      </c>
      <c r="K521" s="28">
        <v>980</v>
      </c>
      <c r="L521" s="28" t="s">
        <v>566</v>
      </c>
      <c r="M521" s="38" t="s">
        <v>1830</v>
      </c>
      <c r="N521" s="100" t="s">
        <v>2092</v>
      </c>
      <c r="O521" s="153" t="s">
        <v>1260</v>
      </c>
      <c r="P521" s="153" t="s">
        <v>1260</v>
      </c>
    </row>
    <row r="522" spans="3:16" ht="15.75" thickBot="1">
      <c r="C522" s="2"/>
      <c r="D522" s="13" t="s">
        <v>2385</v>
      </c>
      <c r="E522" s="14">
        <v>355</v>
      </c>
      <c r="F522" s="15">
        <v>480</v>
      </c>
      <c r="G522" s="14">
        <v>3276</v>
      </c>
      <c r="H522" s="28">
        <v>26</v>
      </c>
      <c r="I522" s="136">
        <v>30</v>
      </c>
      <c r="J522" s="27" t="s">
        <v>2378</v>
      </c>
      <c r="K522" s="28">
        <v>980</v>
      </c>
      <c r="L522" s="28" t="s">
        <v>566</v>
      </c>
      <c r="M522" s="38" t="s">
        <v>1830</v>
      </c>
      <c r="N522" s="100" t="s">
        <v>2092</v>
      </c>
      <c r="O522" s="153" t="s">
        <v>1260</v>
      </c>
      <c r="P522" s="153" t="s">
        <v>1260</v>
      </c>
    </row>
    <row r="523" spans="3:16" ht="15.75" thickBot="1">
      <c r="C523" s="2"/>
      <c r="D523" s="13" t="s">
        <v>2386</v>
      </c>
      <c r="E523" s="14">
        <v>2000</v>
      </c>
      <c r="F523" s="15">
        <v>2700</v>
      </c>
      <c r="G523" s="14">
        <v>4700</v>
      </c>
      <c r="H523" s="28">
        <v>110</v>
      </c>
      <c r="I523" s="136">
        <v>125</v>
      </c>
      <c r="J523" s="27" t="s">
        <v>2378</v>
      </c>
      <c r="K523" s="28">
        <v>980</v>
      </c>
      <c r="L523" s="28" t="s">
        <v>566</v>
      </c>
      <c r="M523" s="38" t="s">
        <v>1856</v>
      </c>
      <c r="N523" s="150" t="s">
        <v>2092</v>
      </c>
      <c r="O523" s="153" t="s">
        <v>1260</v>
      </c>
      <c r="P523" s="153" t="s">
        <v>1260</v>
      </c>
    </row>
    <row r="524" spans="3:16" ht="15.75" thickBot="1">
      <c r="C524" s="2"/>
      <c r="D524" s="13" t="s">
        <v>2387</v>
      </c>
      <c r="E524" s="14">
        <v>1600</v>
      </c>
      <c r="F524" s="15">
        <v>2150</v>
      </c>
      <c r="G524" s="14">
        <v>4418</v>
      </c>
      <c r="H524" s="28">
        <v>97</v>
      </c>
      <c r="I524" s="136">
        <v>110</v>
      </c>
      <c r="J524" s="27" t="s">
        <v>2378</v>
      </c>
      <c r="K524" s="28">
        <v>980</v>
      </c>
      <c r="L524" s="28" t="s">
        <v>566</v>
      </c>
      <c r="M524" s="38" t="s">
        <v>1856</v>
      </c>
      <c r="N524" s="150" t="s">
        <v>2092</v>
      </c>
      <c r="O524" s="153" t="s">
        <v>1260</v>
      </c>
      <c r="P524" s="153" t="s">
        <v>1260</v>
      </c>
    </row>
    <row r="525" spans="3:16" ht="15.75" thickBot="1">
      <c r="C525" s="2"/>
      <c r="D525" s="13" t="s">
        <v>2388</v>
      </c>
      <c r="E525" s="14">
        <v>1250</v>
      </c>
      <c r="F525" s="15">
        <v>1680</v>
      </c>
      <c r="G525" s="14">
        <v>4136</v>
      </c>
      <c r="H525" s="28">
        <v>75</v>
      </c>
      <c r="I525" s="136">
        <v>86</v>
      </c>
      <c r="J525" s="27" t="s">
        <v>2378</v>
      </c>
      <c r="K525" s="28">
        <v>980</v>
      </c>
      <c r="L525" s="28" t="s">
        <v>566</v>
      </c>
      <c r="M525" s="38" t="s">
        <v>1856</v>
      </c>
      <c r="N525" s="150" t="s">
        <v>2092</v>
      </c>
      <c r="O525" s="153" t="s">
        <v>1260</v>
      </c>
      <c r="P525" s="153" t="s">
        <v>1260</v>
      </c>
    </row>
    <row r="526" spans="3:16" ht="15.75" thickBot="1">
      <c r="C526" s="2"/>
      <c r="D526" s="13" t="s">
        <v>2389</v>
      </c>
      <c r="E526" s="14">
        <v>710</v>
      </c>
      <c r="F526" s="15">
        <v>950</v>
      </c>
      <c r="G526" s="14">
        <v>3854</v>
      </c>
      <c r="H526" s="28">
        <v>51</v>
      </c>
      <c r="I526" s="136">
        <v>58</v>
      </c>
      <c r="J526" s="27" t="s">
        <v>2378</v>
      </c>
      <c r="K526" s="28">
        <v>980</v>
      </c>
      <c r="L526" s="28" t="s">
        <v>566</v>
      </c>
      <c r="M526" s="38" t="s">
        <v>1856</v>
      </c>
      <c r="N526" s="150" t="s">
        <v>2092</v>
      </c>
      <c r="O526" s="153" t="s">
        <v>1260</v>
      </c>
      <c r="P526" s="153" t="s">
        <v>1260</v>
      </c>
    </row>
    <row r="527" spans="3:16" ht="15.75" thickBot="1">
      <c r="C527" s="2"/>
      <c r="D527" s="13" t="s">
        <v>2390</v>
      </c>
      <c r="E527" s="14">
        <v>1600</v>
      </c>
      <c r="F527" s="15">
        <v>2150</v>
      </c>
      <c r="G527" s="14">
        <v>4000</v>
      </c>
      <c r="H527" s="28">
        <v>100</v>
      </c>
      <c r="I527" s="136">
        <v>114</v>
      </c>
      <c r="J527" s="27" t="s">
        <v>2378</v>
      </c>
      <c r="K527" s="28">
        <v>980</v>
      </c>
      <c r="L527" s="28" t="s">
        <v>566</v>
      </c>
      <c r="M527" s="38" t="s">
        <v>1856</v>
      </c>
      <c r="N527" s="150" t="s">
        <v>2092</v>
      </c>
      <c r="O527" s="153" t="s">
        <v>1260</v>
      </c>
      <c r="P527" s="153" t="s">
        <v>1260</v>
      </c>
    </row>
    <row r="528" spans="3:16" ht="15.75" thickBot="1">
      <c r="C528" s="2"/>
      <c r="D528" s="13" t="s">
        <v>2391</v>
      </c>
      <c r="E528" s="14">
        <v>1250</v>
      </c>
      <c r="F528" s="15">
        <v>1680</v>
      </c>
      <c r="G528" s="14">
        <v>3760</v>
      </c>
      <c r="H528" s="28">
        <v>88</v>
      </c>
      <c r="I528" s="136">
        <v>101</v>
      </c>
      <c r="J528" s="27" t="s">
        <v>2378</v>
      </c>
      <c r="K528" s="28">
        <v>980</v>
      </c>
      <c r="L528" s="28" t="s">
        <v>566</v>
      </c>
      <c r="M528" s="38" t="s">
        <v>1856</v>
      </c>
      <c r="N528" s="150" t="s">
        <v>2092</v>
      </c>
      <c r="O528" s="153" t="s">
        <v>1260</v>
      </c>
      <c r="P528" s="153" t="s">
        <v>1260</v>
      </c>
    </row>
    <row r="529" spans="3:16" ht="15.75" thickBot="1">
      <c r="C529" s="2"/>
      <c r="D529" s="13" t="s">
        <v>2392</v>
      </c>
      <c r="E529" s="14">
        <v>900</v>
      </c>
      <c r="F529" s="15">
        <v>1200</v>
      </c>
      <c r="G529" s="14">
        <v>3520</v>
      </c>
      <c r="H529" s="28">
        <v>68</v>
      </c>
      <c r="I529" s="136">
        <v>78</v>
      </c>
      <c r="J529" s="27" t="s">
        <v>2378</v>
      </c>
      <c r="K529" s="28">
        <v>980</v>
      </c>
      <c r="L529" s="28" t="s">
        <v>566</v>
      </c>
      <c r="M529" s="38" t="s">
        <v>1856</v>
      </c>
      <c r="N529" s="150" t="s">
        <v>2092</v>
      </c>
      <c r="O529" s="153" t="s">
        <v>1260</v>
      </c>
      <c r="P529" s="153" t="s">
        <v>1260</v>
      </c>
    </row>
    <row r="530" spans="3:16" ht="15.75" thickBot="1">
      <c r="C530" s="2"/>
      <c r="D530" s="13" t="s">
        <v>2393</v>
      </c>
      <c r="E530" s="14">
        <v>630</v>
      </c>
      <c r="F530" s="15">
        <v>850</v>
      </c>
      <c r="G530" s="14">
        <v>3280</v>
      </c>
      <c r="H530" s="28">
        <v>46</v>
      </c>
      <c r="I530" s="136">
        <v>52</v>
      </c>
      <c r="J530" s="27" t="s">
        <v>2378</v>
      </c>
      <c r="K530" s="28">
        <v>980</v>
      </c>
      <c r="L530" s="28" t="s">
        <v>566</v>
      </c>
      <c r="M530" s="38" t="s">
        <v>1856</v>
      </c>
      <c r="N530" s="150" t="s">
        <v>2092</v>
      </c>
      <c r="O530" s="153" t="s">
        <v>1260</v>
      </c>
      <c r="P530" s="153" t="s">
        <v>1260</v>
      </c>
    </row>
    <row r="531" spans="3:16" ht="15.75" thickBot="1">
      <c r="C531" s="2"/>
      <c r="D531" s="13" t="s">
        <v>2394</v>
      </c>
      <c r="E531" s="14">
        <v>450</v>
      </c>
      <c r="F531" s="15">
        <v>600</v>
      </c>
      <c r="G531" s="14">
        <v>4700</v>
      </c>
      <c r="H531" s="28">
        <v>28</v>
      </c>
      <c r="I531" s="136">
        <v>35</v>
      </c>
      <c r="J531" s="27" t="s">
        <v>2395</v>
      </c>
      <c r="K531" s="28">
        <v>980</v>
      </c>
      <c r="L531" s="28" t="s">
        <v>566</v>
      </c>
      <c r="M531" s="38" t="s">
        <v>1830</v>
      </c>
      <c r="N531" s="100" t="s">
        <v>2092</v>
      </c>
      <c r="O531" s="153" t="s">
        <v>1260</v>
      </c>
      <c r="P531" s="153" t="s">
        <v>1260</v>
      </c>
    </row>
    <row r="532" spans="3:16" ht="15.75" thickBot="1">
      <c r="C532" s="2"/>
      <c r="D532" s="13" t="s">
        <v>2396</v>
      </c>
      <c r="E532" s="14">
        <v>400</v>
      </c>
      <c r="F532" s="15">
        <v>540</v>
      </c>
      <c r="G532" s="14">
        <v>4418</v>
      </c>
      <c r="H532" s="28">
        <v>25</v>
      </c>
      <c r="I532" s="136">
        <v>31</v>
      </c>
      <c r="J532" s="27" t="s">
        <v>2395</v>
      </c>
      <c r="K532" s="28">
        <v>980</v>
      </c>
      <c r="L532" s="28" t="s">
        <v>566</v>
      </c>
      <c r="M532" s="38" t="s">
        <v>1830</v>
      </c>
      <c r="N532" s="100" t="s">
        <v>2092</v>
      </c>
      <c r="O532" s="153" t="s">
        <v>1260</v>
      </c>
      <c r="P532" s="153" t="s">
        <v>1260</v>
      </c>
    </row>
    <row r="533" spans="3:16" ht="15.75" thickBot="1">
      <c r="C533" s="2"/>
      <c r="D533" s="13" t="s">
        <v>2397</v>
      </c>
      <c r="E533" s="14">
        <v>315</v>
      </c>
      <c r="F533" s="15">
        <v>430</v>
      </c>
      <c r="G533" s="14">
        <v>4192</v>
      </c>
      <c r="H533" s="28">
        <v>20</v>
      </c>
      <c r="I533" s="136">
        <v>25</v>
      </c>
      <c r="J533" s="27" t="s">
        <v>2395</v>
      </c>
      <c r="K533" s="28">
        <v>980</v>
      </c>
      <c r="L533" s="28" t="s">
        <v>566</v>
      </c>
      <c r="M533" s="38" t="s">
        <v>1830</v>
      </c>
      <c r="N533" s="100" t="s">
        <v>2092</v>
      </c>
      <c r="O533" s="153" t="s">
        <v>1260</v>
      </c>
      <c r="P533" s="153" t="s">
        <v>1260</v>
      </c>
    </row>
    <row r="534" spans="3:16" ht="15.75" thickBot="1">
      <c r="C534" s="2"/>
      <c r="D534" s="13" t="s">
        <v>2398</v>
      </c>
      <c r="E534" s="14">
        <v>200</v>
      </c>
      <c r="F534" s="15">
        <v>270</v>
      </c>
      <c r="G534" s="14">
        <v>3962</v>
      </c>
      <c r="H534" s="28">
        <v>14</v>
      </c>
      <c r="I534" s="136">
        <v>17</v>
      </c>
      <c r="J534" s="27" t="s">
        <v>2395</v>
      </c>
      <c r="K534" s="28">
        <v>980</v>
      </c>
      <c r="L534" s="28" t="s">
        <v>566</v>
      </c>
      <c r="M534" s="38" t="s">
        <v>1830</v>
      </c>
      <c r="N534" s="100" t="s">
        <v>1831</v>
      </c>
      <c r="O534" s="153" t="s">
        <v>1260</v>
      </c>
      <c r="P534" s="153" t="s">
        <v>1260</v>
      </c>
    </row>
    <row r="535" spans="3:16" ht="15.75" thickBot="1">
      <c r="C535" s="2"/>
      <c r="D535" s="13" t="s">
        <v>2399</v>
      </c>
      <c r="E535" s="14">
        <v>355</v>
      </c>
      <c r="F535" s="15">
        <v>480</v>
      </c>
      <c r="G535" s="14">
        <v>4000</v>
      </c>
      <c r="H535" s="28">
        <v>26</v>
      </c>
      <c r="I535" s="136">
        <v>33</v>
      </c>
      <c r="J535" s="27" t="s">
        <v>2395</v>
      </c>
      <c r="K535" s="28">
        <v>980</v>
      </c>
      <c r="L535" s="28" t="s">
        <v>566</v>
      </c>
      <c r="M535" s="38" t="s">
        <v>1830</v>
      </c>
      <c r="N535" s="100" t="s">
        <v>2092</v>
      </c>
      <c r="O535" s="153" t="s">
        <v>1260</v>
      </c>
      <c r="P535" s="153" t="s">
        <v>1260</v>
      </c>
    </row>
    <row r="536" spans="3:16" ht="15.75" thickBot="1">
      <c r="C536" s="2"/>
      <c r="D536" s="13" t="s">
        <v>2400</v>
      </c>
      <c r="E536" s="14">
        <v>315</v>
      </c>
      <c r="F536" s="15">
        <v>430</v>
      </c>
      <c r="G536" s="14">
        <v>3760</v>
      </c>
      <c r="H536" s="28">
        <v>23</v>
      </c>
      <c r="I536" s="136">
        <v>29</v>
      </c>
      <c r="J536" s="27" t="s">
        <v>2395</v>
      </c>
      <c r="K536" s="28">
        <v>980</v>
      </c>
      <c r="L536" s="28" t="s">
        <v>566</v>
      </c>
      <c r="M536" s="38" t="s">
        <v>1830</v>
      </c>
      <c r="N536" s="100" t="s">
        <v>2092</v>
      </c>
      <c r="O536" s="153" t="s">
        <v>1260</v>
      </c>
      <c r="P536" s="153" t="s">
        <v>1260</v>
      </c>
    </row>
    <row r="537" spans="3:16" ht="15.75" thickBot="1">
      <c r="C537" s="2"/>
      <c r="D537" s="13" t="s">
        <v>2401</v>
      </c>
      <c r="E537" s="14">
        <v>250</v>
      </c>
      <c r="F537" s="15">
        <v>340</v>
      </c>
      <c r="G537" s="14">
        <v>3568</v>
      </c>
      <c r="H537" s="28">
        <v>18</v>
      </c>
      <c r="I537" s="136">
        <v>23</v>
      </c>
      <c r="J537" s="27" t="s">
        <v>2395</v>
      </c>
      <c r="K537" s="28">
        <v>980</v>
      </c>
      <c r="L537" s="28" t="s">
        <v>566</v>
      </c>
      <c r="M537" s="38" t="s">
        <v>1830</v>
      </c>
      <c r="N537" s="100" t="s">
        <v>1831</v>
      </c>
      <c r="O537" s="153" t="s">
        <v>1260</v>
      </c>
      <c r="P537" s="153" t="s">
        <v>1260</v>
      </c>
    </row>
    <row r="538" spans="3:16" ht="15.75" thickBot="1">
      <c r="C538" s="2"/>
      <c r="D538" s="13" t="s">
        <v>2402</v>
      </c>
      <c r="E538" s="14">
        <v>160</v>
      </c>
      <c r="F538" s="15">
        <v>220</v>
      </c>
      <c r="G538" s="14">
        <v>3372</v>
      </c>
      <c r="H538" s="28">
        <v>13</v>
      </c>
      <c r="I538" s="136">
        <v>16</v>
      </c>
      <c r="J538" s="27" t="s">
        <v>2395</v>
      </c>
      <c r="K538" s="28">
        <v>980</v>
      </c>
      <c r="L538" s="28" t="s">
        <v>566</v>
      </c>
      <c r="M538" s="38" t="s">
        <v>1830</v>
      </c>
      <c r="N538" s="100" t="s">
        <v>1831</v>
      </c>
      <c r="O538" s="153" t="s">
        <v>1260</v>
      </c>
      <c r="P538" s="153" t="s">
        <v>1260</v>
      </c>
    </row>
    <row r="539" spans="3:16" ht="15.75" thickBot="1">
      <c r="C539" s="2"/>
      <c r="D539" s="13" t="s">
        <v>2403</v>
      </c>
      <c r="E539" s="14">
        <v>630</v>
      </c>
      <c r="F539" s="15">
        <v>850</v>
      </c>
      <c r="G539" s="14">
        <v>4700</v>
      </c>
      <c r="H539" s="28">
        <v>37</v>
      </c>
      <c r="I539" s="136">
        <v>43</v>
      </c>
      <c r="J539" s="27" t="s">
        <v>2395</v>
      </c>
      <c r="K539" s="28">
        <v>980</v>
      </c>
      <c r="L539" s="28" t="s">
        <v>566</v>
      </c>
      <c r="M539" s="38" t="s">
        <v>1830</v>
      </c>
      <c r="N539" s="100" t="s">
        <v>2092</v>
      </c>
      <c r="O539" s="153" t="s">
        <v>1260</v>
      </c>
      <c r="P539" s="153" t="s">
        <v>1260</v>
      </c>
    </row>
    <row r="540" spans="3:16" ht="15.75" thickBot="1">
      <c r="C540" s="2"/>
      <c r="D540" s="13" t="s">
        <v>2404</v>
      </c>
      <c r="E540" s="14">
        <v>500</v>
      </c>
      <c r="F540" s="15">
        <v>670</v>
      </c>
      <c r="G540" s="14">
        <v>4418</v>
      </c>
      <c r="H540" s="28">
        <v>33</v>
      </c>
      <c r="I540" s="136">
        <v>38</v>
      </c>
      <c r="J540" s="27" t="s">
        <v>2395</v>
      </c>
      <c r="K540" s="28">
        <v>980</v>
      </c>
      <c r="L540" s="28" t="s">
        <v>566</v>
      </c>
      <c r="M540" s="38" t="s">
        <v>1830</v>
      </c>
      <c r="N540" s="100" t="s">
        <v>2092</v>
      </c>
      <c r="O540" s="153" t="s">
        <v>1260</v>
      </c>
      <c r="P540" s="153" t="s">
        <v>1260</v>
      </c>
    </row>
    <row r="541" spans="3:16" ht="15.75" thickBot="1">
      <c r="C541" s="2"/>
      <c r="D541" s="13" t="s">
        <v>2405</v>
      </c>
      <c r="E541" s="14">
        <v>400</v>
      </c>
      <c r="F541" s="15">
        <v>540</v>
      </c>
      <c r="G541" s="14">
        <v>4192</v>
      </c>
      <c r="H541" s="28">
        <v>26</v>
      </c>
      <c r="I541" s="136">
        <v>30</v>
      </c>
      <c r="J541" s="27" t="s">
        <v>2395</v>
      </c>
      <c r="K541" s="28">
        <v>980</v>
      </c>
      <c r="L541" s="28" t="s">
        <v>566</v>
      </c>
      <c r="M541" s="38" t="s">
        <v>1830</v>
      </c>
      <c r="N541" s="100" t="s">
        <v>2092</v>
      </c>
      <c r="O541" s="153" t="s">
        <v>1260</v>
      </c>
      <c r="P541" s="153" t="s">
        <v>1260</v>
      </c>
    </row>
    <row r="542" spans="3:16" ht="15.75" thickBot="1">
      <c r="C542" s="2"/>
      <c r="D542" s="13" t="s">
        <v>2406</v>
      </c>
      <c r="E542" s="14">
        <v>280</v>
      </c>
      <c r="F542" s="15">
        <v>380</v>
      </c>
      <c r="G542" s="14">
        <v>3962</v>
      </c>
      <c r="H542" s="28">
        <v>18</v>
      </c>
      <c r="I542" s="136">
        <v>21</v>
      </c>
      <c r="J542" s="27" t="s">
        <v>2395</v>
      </c>
      <c r="K542" s="28">
        <v>980</v>
      </c>
      <c r="L542" s="28" t="s">
        <v>566</v>
      </c>
      <c r="M542" s="38" t="s">
        <v>1830</v>
      </c>
      <c r="N542" s="100" t="s">
        <v>1831</v>
      </c>
      <c r="O542" s="153" t="s">
        <v>1260</v>
      </c>
      <c r="P542" s="153" t="s">
        <v>1260</v>
      </c>
    </row>
    <row r="543" spans="3:16" ht="15.75" thickBot="1">
      <c r="C543" s="2"/>
      <c r="D543" s="13" t="s">
        <v>2407</v>
      </c>
      <c r="E543" s="14">
        <v>500</v>
      </c>
      <c r="F543" s="15">
        <v>670</v>
      </c>
      <c r="G543" s="14">
        <v>4000</v>
      </c>
      <c r="H543" s="28">
        <v>34</v>
      </c>
      <c r="I543" s="136">
        <v>39</v>
      </c>
      <c r="J543" s="27" t="s">
        <v>2395</v>
      </c>
      <c r="K543" s="28">
        <v>980</v>
      </c>
      <c r="L543" s="28" t="s">
        <v>566</v>
      </c>
      <c r="M543" s="38" t="s">
        <v>1830</v>
      </c>
      <c r="N543" s="100" t="s">
        <v>2092</v>
      </c>
      <c r="O543" s="153" t="s">
        <v>1260</v>
      </c>
      <c r="P543" s="153" t="s">
        <v>1260</v>
      </c>
    </row>
    <row r="544" spans="3:16" ht="15.75" thickBot="1">
      <c r="C544" s="2"/>
      <c r="D544" s="13" t="s">
        <v>2408</v>
      </c>
      <c r="E544" s="14">
        <v>400</v>
      </c>
      <c r="F544" s="15">
        <v>540</v>
      </c>
      <c r="G544" s="14">
        <v>3760</v>
      </c>
      <c r="H544" s="28">
        <v>30</v>
      </c>
      <c r="I544" s="136">
        <v>34</v>
      </c>
      <c r="J544" s="27" t="s">
        <v>2395</v>
      </c>
      <c r="K544" s="28">
        <v>980</v>
      </c>
      <c r="L544" s="28" t="s">
        <v>566</v>
      </c>
      <c r="M544" s="38" t="s">
        <v>1830</v>
      </c>
      <c r="N544" s="100" t="s">
        <v>2092</v>
      </c>
      <c r="O544" s="153" t="s">
        <v>1260</v>
      </c>
      <c r="P544" s="153" t="s">
        <v>1260</v>
      </c>
    </row>
    <row r="545" spans="3:16" ht="15.75" thickBot="1">
      <c r="C545" s="2"/>
      <c r="D545" s="13" t="s">
        <v>2409</v>
      </c>
      <c r="E545" s="14">
        <v>315</v>
      </c>
      <c r="F545" s="15">
        <v>430</v>
      </c>
      <c r="G545" s="14">
        <v>3568</v>
      </c>
      <c r="H545" s="28">
        <v>24</v>
      </c>
      <c r="I545" s="136">
        <v>27</v>
      </c>
      <c r="J545" s="27" t="s">
        <v>2395</v>
      </c>
      <c r="K545" s="28">
        <v>980</v>
      </c>
      <c r="L545" s="28" t="s">
        <v>566</v>
      </c>
      <c r="M545" s="38" t="s">
        <v>1830</v>
      </c>
      <c r="N545" s="100" t="s">
        <v>2092</v>
      </c>
      <c r="O545" s="153" t="s">
        <v>1260</v>
      </c>
      <c r="P545" s="153" t="s">
        <v>1260</v>
      </c>
    </row>
    <row r="546" spans="3:16" ht="15.75" thickBot="1">
      <c r="C546" s="2"/>
      <c r="D546" s="13" t="s">
        <v>2410</v>
      </c>
      <c r="E546" s="14">
        <v>220</v>
      </c>
      <c r="F546" s="15">
        <v>300</v>
      </c>
      <c r="G546" s="14">
        <v>3372</v>
      </c>
      <c r="H546" s="28">
        <v>17</v>
      </c>
      <c r="I546" s="136">
        <v>19</v>
      </c>
      <c r="J546" s="27" t="s">
        <v>2395</v>
      </c>
      <c r="K546" s="28">
        <v>980</v>
      </c>
      <c r="L546" s="28" t="s">
        <v>566</v>
      </c>
      <c r="M546" s="38" t="s">
        <v>1830</v>
      </c>
      <c r="N546" s="100" t="s">
        <v>1831</v>
      </c>
      <c r="O546" s="153" t="s">
        <v>1260</v>
      </c>
      <c r="P546" s="153" t="s">
        <v>1260</v>
      </c>
    </row>
    <row r="547" spans="3:16" ht="15.75" thickBot="1">
      <c r="C547" s="2"/>
      <c r="D547" s="13" t="s">
        <v>2411</v>
      </c>
      <c r="E547" s="14">
        <v>1800</v>
      </c>
      <c r="F547" s="15">
        <v>2420</v>
      </c>
      <c r="G547" s="14">
        <v>6500</v>
      </c>
      <c r="H547" s="28">
        <v>78</v>
      </c>
      <c r="I547" s="136">
        <v>90</v>
      </c>
      <c r="J547" s="27" t="s">
        <v>2412</v>
      </c>
      <c r="K547" s="28">
        <v>980</v>
      </c>
      <c r="L547" s="28" t="s">
        <v>566</v>
      </c>
      <c r="M547" s="38" t="s">
        <v>1856</v>
      </c>
      <c r="N547" s="150" t="s">
        <v>2092</v>
      </c>
      <c r="O547" s="153" t="s">
        <v>1260</v>
      </c>
      <c r="P547" s="153" t="s">
        <v>1260</v>
      </c>
    </row>
    <row r="548" spans="3:16" ht="15.75" thickBot="1">
      <c r="C548" s="2"/>
      <c r="D548" s="13" t="s">
        <v>2413</v>
      </c>
      <c r="E548" s="14">
        <v>1600</v>
      </c>
      <c r="F548" s="15">
        <v>2150</v>
      </c>
      <c r="G548" s="14">
        <v>6110</v>
      </c>
      <c r="H548" s="28">
        <v>69</v>
      </c>
      <c r="I548" s="136">
        <v>80</v>
      </c>
      <c r="J548" s="27" t="s">
        <v>2412</v>
      </c>
      <c r="K548" s="28">
        <v>980</v>
      </c>
      <c r="L548" s="28" t="s">
        <v>566</v>
      </c>
      <c r="M548" s="38" t="s">
        <v>1856</v>
      </c>
      <c r="N548" s="150" t="s">
        <v>2092</v>
      </c>
      <c r="O548" s="153" t="s">
        <v>1260</v>
      </c>
      <c r="P548" s="153" t="s">
        <v>1260</v>
      </c>
    </row>
    <row r="549" spans="3:16" ht="15.75" thickBot="1">
      <c r="C549" s="2"/>
      <c r="D549" s="13" t="s">
        <v>2414</v>
      </c>
      <c r="E549" s="14">
        <v>1120</v>
      </c>
      <c r="F549" s="15">
        <v>1500</v>
      </c>
      <c r="G549" s="14">
        <v>5720</v>
      </c>
      <c r="H549" s="28">
        <v>53</v>
      </c>
      <c r="I549" s="136">
        <v>62</v>
      </c>
      <c r="J549" s="27" t="s">
        <v>2412</v>
      </c>
      <c r="K549" s="28">
        <v>980</v>
      </c>
      <c r="L549" s="28" t="s">
        <v>566</v>
      </c>
      <c r="M549" s="38" t="s">
        <v>1856</v>
      </c>
      <c r="N549" s="150" t="s">
        <v>2092</v>
      </c>
      <c r="O549" s="153" t="s">
        <v>1260</v>
      </c>
      <c r="P549" s="153" t="s">
        <v>1260</v>
      </c>
    </row>
    <row r="550" spans="3:16" ht="15.75" thickBot="1">
      <c r="C550" s="2"/>
      <c r="D550" s="13" t="s">
        <v>2415</v>
      </c>
      <c r="E550" s="14">
        <v>710</v>
      </c>
      <c r="F550" s="15">
        <v>950</v>
      </c>
      <c r="G550" s="14">
        <v>5324</v>
      </c>
      <c r="H550" s="28">
        <v>36</v>
      </c>
      <c r="I550" s="136">
        <v>41</v>
      </c>
      <c r="J550" s="27" t="s">
        <v>2412</v>
      </c>
      <c r="K550" s="28">
        <v>980</v>
      </c>
      <c r="L550" s="28" t="s">
        <v>566</v>
      </c>
      <c r="M550" s="38" t="s">
        <v>1856</v>
      </c>
      <c r="N550" s="150" t="s">
        <v>2092</v>
      </c>
      <c r="O550" s="153" t="s">
        <v>1260</v>
      </c>
      <c r="P550" s="153" t="s">
        <v>1260</v>
      </c>
    </row>
    <row r="551" spans="3:16" ht="15.75" thickBot="1">
      <c r="C551" s="2"/>
      <c r="D551" s="13" t="s">
        <v>2416</v>
      </c>
      <c r="E551" s="14">
        <v>1400</v>
      </c>
      <c r="F551" s="15">
        <v>1880</v>
      </c>
      <c r="G551" s="14">
        <v>5500</v>
      </c>
      <c r="H551" s="28">
        <v>70</v>
      </c>
      <c r="I551" s="136">
        <v>80</v>
      </c>
      <c r="J551" s="27" t="s">
        <v>2412</v>
      </c>
      <c r="K551" s="28">
        <v>980</v>
      </c>
      <c r="L551" s="28" t="s">
        <v>566</v>
      </c>
      <c r="M551" s="38" t="s">
        <v>1856</v>
      </c>
      <c r="N551" s="150" t="s">
        <v>2092</v>
      </c>
      <c r="O551" s="153" t="s">
        <v>1260</v>
      </c>
      <c r="P551" s="153" t="s">
        <v>1260</v>
      </c>
    </row>
    <row r="552" spans="3:16" ht="15.75" thickBot="1">
      <c r="C552" s="2"/>
      <c r="D552" s="13" t="s">
        <v>2417</v>
      </c>
      <c r="E552" s="14">
        <v>1250</v>
      </c>
      <c r="F552" s="15">
        <v>1680</v>
      </c>
      <c r="G552" s="14">
        <v>5170</v>
      </c>
      <c r="H552" s="28">
        <v>62</v>
      </c>
      <c r="I552" s="136">
        <v>71</v>
      </c>
      <c r="J552" s="27" t="s">
        <v>2412</v>
      </c>
      <c r="K552" s="28">
        <v>980</v>
      </c>
      <c r="L552" s="28" t="s">
        <v>566</v>
      </c>
      <c r="M552" s="38" t="s">
        <v>1856</v>
      </c>
      <c r="N552" s="150" t="s">
        <v>2092</v>
      </c>
      <c r="O552" s="153" t="s">
        <v>1260</v>
      </c>
      <c r="P552" s="153" t="s">
        <v>1260</v>
      </c>
    </row>
    <row r="553" spans="3:16" ht="15.75" thickBot="1">
      <c r="C553" s="2"/>
      <c r="D553" s="13" t="s">
        <v>2418</v>
      </c>
      <c r="E553" s="14">
        <v>900</v>
      </c>
      <c r="F553" s="15">
        <v>1200</v>
      </c>
      <c r="G553" s="14">
        <v>4840</v>
      </c>
      <c r="H553" s="28">
        <v>48</v>
      </c>
      <c r="I553" s="136">
        <v>55</v>
      </c>
      <c r="J553" s="27" t="s">
        <v>2412</v>
      </c>
      <c r="K553" s="28">
        <v>980</v>
      </c>
      <c r="L553" s="28" t="s">
        <v>566</v>
      </c>
      <c r="M553" s="38" t="s">
        <v>1856</v>
      </c>
      <c r="N553" s="150" t="s">
        <v>2092</v>
      </c>
      <c r="O553" s="153" t="s">
        <v>1260</v>
      </c>
      <c r="P553" s="153" t="s">
        <v>1260</v>
      </c>
    </row>
    <row r="554" spans="3:16" ht="15.75" thickBot="1">
      <c r="C554" s="2"/>
      <c r="D554" s="13" t="s">
        <v>2419</v>
      </c>
      <c r="E554" s="14">
        <v>560</v>
      </c>
      <c r="F554" s="15">
        <v>750</v>
      </c>
      <c r="G554" s="14">
        <v>4505</v>
      </c>
      <c r="H554" s="28">
        <v>32</v>
      </c>
      <c r="I554" s="136">
        <v>37</v>
      </c>
      <c r="J554" s="27" t="s">
        <v>2412</v>
      </c>
      <c r="K554" s="28">
        <v>980</v>
      </c>
      <c r="L554" s="28" t="s">
        <v>566</v>
      </c>
      <c r="M554" s="38" t="s">
        <v>1856</v>
      </c>
      <c r="N554" s="150" t="s">
        <v>2092</v>
      </c>
      <c r="O554" s="153" t="s">
        <v>1260</v>
      </c>
      <c r="P554" s="153" t="s">
        <v>1260</v>
      </c>
    </row>
    <row r="555" spans="3:16" ht="15.75" thickBot="1">
      <c r="C555" s="2"/>
      <c r="D555" s="13" t="s">
        <v>2420</v>
      </c>
      <c r="E555" s="14">
        <v>2800</v>
      </c>
      <c r="F555" s="15">
        <v>3750</v>
      </c>
      <c r="G555" s="14">
        <v>6500</v>
      </c>
      <c r="H555" s="28">
        <v>120</v>
      </c>
      <c r="I555" s="136">
        <v>138</v>
      </c>
      <c r="J555" s="27" t="s">
        <v>2412</v>
      </c>
      <c r="K555" s="28">
        <v>980</v>
      </c>
      <c r="L555" s="28" t="s">
        <v>566</v>
      </c>
      <c r="M555" s="38" t="s">
        <v>1856</v>
      </c>
      <c r="N555" s="150" t="s">
        <v>2092</v>
      </c>
      <c r="O555" s="153" t="s">
        <v>1260</v>
      </c>
      <c r="P555" s="153" t="s">
        <v>1260</v>
      </c>
    </row>
    <row r="556" spans="3:16" ht="15.75" thickBot="1">
      <c r="C556" s="2"/>
      <c r="D556" s="13" t="s">
        <v>2421</v>
      </c>
      <c r="E556" s="14">
        <v>2500</v>
      </c>
      <c r="F556" s="15">
        <v>3400</v>
      </c>
      <c r="G556" s="14">
        <v>6110</v>
      </c>
      <c r="H556" s="28">
        <v>106</v>
      </c>
      <c r="I556" s="136">
        <v>122</v>
      </c>
      <c r="J556" s="27" t="s">
        <v>2412</v>
      </c>
      <c r="K556" s="28">
        <v>980</v>
      </c>
      <c r="L556" s="28" t="s">
        <v>566</v>
      </c>
      <c r="M556" s="38" t="s">
        <v>1856</v>
      </c>
      <c r="N556" s="150" t="s">
        <v>2092</v>
      </c>
      <c r="O556" s="153" t="s">
        <v>1260</v>
      </c>
      <c r="P556" s="153" t="s">
        <v>1260</v>
      </c>
    </row>
    <row r="557" spans="3:16" ht="15.75" thickBot="1">
      <c r="C557" s="2"/>
      <c r="D557" s="13" t="s">
        <v>2422</v>
      </c>
      <c r="E557" s="14">
        <v>1800</v>
      </c>
      <c r="F557" s="15">
        <v>2420</v>
      </c>
      <c r="G557" s="14">
        <v>5720</v>
      </c>
      <c r="H557" s="28">
        <v>82</v>
      </c>
      <c r="I557" s="136">
        <v>94</v>
      </c>
      <c r="J557" s="27" t="s">
        <v>2412</v>
      </c>
      <c r="K557" s="28">
        <v>980</v>
      </c>
      <c r="L557" s="28" t="s">
        <v>566</v>
      </c>
      <c r="M557" s="38" t="s">
        <v>1856</v>
      </c>
      <c r="N557" s="150" t="s">
        <v>2092</v>
      </c>
      <c r="O557" s="153" t="s">
        <v>1260</v>
      </c>
      <c r="P557" s="153" t="s">
        <v>1260</v>
      </c>
    </row>
    <row r="558" spans="3:16" ht="15.75" thickBot="1">
      <c r="C558" s="2"/>
      <c r="D558" s="13" t="s">
        <v>2423</v>
      </c>
      <c r="E558" s="14">
        <v>1120</v>
      </c>
      <c r="F558" s="15">
        <v>1500</v>
      </c>
      <c r="G558" s="14">
        <v>5330</v>
      </c>
      <c r="H558" s="28">
        <v>55</v>
      </c>
      <c r="I558" s="136">
        <v>63</v>
      </c>
      <c r="J558" s="27" t="s">
        <v>2412</v>
      </c>
      <c r="K558" s="28">
        <v>980</v>
      </c>
      <c r="L558" s="28" t="s">
        <v>566</v>
      </c>
      <c r="M558" s="38" t="s">
        <v>1856</v>
      </c>
      <c r="N558" s="150" t="s">
        <v>2092</v>
      </c>
      <c r="O558" s="153" t="s">
        <v>1260</v>
      </c>
      <c r="P558" s="153" t="s">
        <v>1260</v>
      </c>
    </row>
    <row r="559" spans="3:16" ht="15.75" thickBot="1">
      <c r="C559" s="2"/>
      <c r="D559" s="13" t="s">
        <v>2424</v>
      </c>
      <c r="E559" s="14">
        <v>2500</v>
      </c>
      <c r="F559" s="15">
        <v>3400</v>
      </c>
      <c r="G559" s="14">
        <v>5500</v>
      </c>
      <c r="H559" s="28">
        <v>115</v>
      </c>
      <c r="I559" s="136">
        <v>132</v>
      </c>
      <c r="J559" s="27" t="s">
        <v>2412</v>
      </c>
      <c r="K559" s="28">
        <v>980</v>
      </c>
      <c r="L559" s="28" t="s">
        <v>566</v>
      </c>
      <c r="M559" s="38" t="s">
        <v>1856</v>
      </c>
      <c r="N559" s="150" t="s">
        <v>2092</v>
      </c>
      <c r="O559" s="153" t="s">
        <v>1260</v>
      </c>
      <c r="P559" s="153" t="s">
        <v>1260</v>
      </c>
    </row>
    <row r="560" spans="3:16" ht="15.75" thickBot="1">
      <c r="C560" s="2"/>
      <c r="D560" s="13" t="s">
        <v>2425</v>
      </c>
      <c r="E560" s="14">
        <v>2000</v>
      </c>
      <c r="F560" s="15">
        <v>2700</v>
      </c>
      <c r="G560" s="14">
        <v>5170</v>
      </c>
      <c r="H560" s="28">
        <v>102</v>
      </c>
      <c r="I560" s="136">
        <v>117</v>
      </c>
      <c r="J560" s="27" t="s">
        <v>2412</v>
      </c>
      <c r="K560" s="28">
        <v>980</v>
      </c>
      <c r="L560" s="28" t="s">
        <v>566</v>
      </c>
      <c r="M560" s="38" t="s">
        <v>1856</v>
      </c>
      <c r="N560" s="150" t="s">
        <v>2092</v>
      </c>
      <c r="O560" s="153" t="s">
        <v>1260</v>
      </c>
      <c r="P560" s="153" t="s">
        <v>1260</v>
      </c>
    </row>
    <row r="561" spans="3:16" ht="15.75" thickBot="1">
      <c r="C561" s="2"/>
      <c r="D561" s="13" t="s">
        <v>2426</v>
      </c>
      <c r="E561" s="14">
        <v>1400</v>
      </c>
      <c r="F561" s="15">
        <v>1880</v>
      </c>
      <c r="G561" s="14">
        <v>4840</v>
      </c>
      <c r="H561" s="28">
        <v>79</v>
      </c>
      <c r="I561" s="136">
        <v>90</v>
      </c>
      <c r="J561" s="27" t="s">
        <v>2412</v>
      </c>
      <c r="K561" s="28">
        <v>980</v>
      </c>
      <c r="L561" s="28" t="s">
        <v>566</v>
      </c>
      <c r="M561" s="38" t="s">
        <v>1856</v>
      </c>
      <c r="N561" s="150" t="s">
        <v>2092</v>
      </c>
      <c r="O561" s="153" t="s">
        <v>1260</v>
      </c>
      <c r="P561" s="153" t="s">
        <v>1260</v>
      </c>
    </row>
    <row r="562" spans="3:16" ht="15.75" thickBot="1">
      <c r="C562" s="2"/>
      <c r="D562" s="13" t="s">
        <v>2427</v>
      </c>
      <c r="E562" s="14">
        <v>900</v>
      </c>
      <c r="F562" s="15">
        <v>1200</v>
      </c>
      <c r="G562" s="14">
        <v>4510</v>
      </c>
      <c r="H562" s="28">
        <v>53</v>
      </c>
      <c r="I562" s="136">
        <v>61</v>
      </c>
      <c r="J562" s="27" t="s">
        <v>2412</v>
      </c>
      <c r="K562" s="28">
        <v>980</v>
      </c>
      <c r="L562" s="28" t="s">
        <v>566</v>
      </c>
      <c r="M562" s="38" t="s">
        <v>1856</v>
      </c>
      <c r="N562" s="150" t="s">
        <v>2092</v>
      </c>
      <c r="O562" s="153" t="s">
        <v>1260</v>
      </c>
      <c r="P562" s="153" t="s">
        <v>1260</v>
      </c>
    </row>
    <row r="563" spans="3:16" ht="15.75" thickBot="1">
      <c r="C563" s="2"/>
      <c r="D563" s="13" t="s">
        <v>2428</v>
      </c>
      <c r="E563" s="14">
        <v>2240</v>
      </c>
      <c r="F563" s="15">
        <v>3000</v>
      </c>
      <c r="G563" s="14">
        <v>6500</v>
      </c>
      <c r="H563" s="28">
        <v>90</v>
      </c>
      <c r="I563" s="136">
        <v>104</v>
      </c>
      <c r="J563" s="27" t="s">
        <v>2412</v>
      </c>
      <c r="K563" s="28">
        <v>740</v>
      </c>
      <c r="L563" s="28" t="s">
        <v>566</v>
      </c>
      <c r="M563" s="38" t="s">
        <v>1856</v>
      </c>
      <c r="N563" s="150" t="s">
        <v>2092</v>
      </c>
      <c r="O563" s="153" t="s">
        <v>1260</v>
      </c>
      <c r="P563" s="153" t="s">
        <v>1260</v>
      </c>
    </row>
    <row r="564" spans="3:16" ht="15.75" thickBot="1">
      <c r="C564" s="2"/>
      <c r="D564" s="13" t="s">
        <v>2429</v>
      </c>
      <c r="E564" s="14">
        <v>1800</v>
      </c>
      <c r="F564" s="15">
        <v>2420</v>
      </c>
      <c r="G564" s="14">
        <v>6110</v>
      </c>
      <c r="H564" s="28">
        <v>80</v>
      </c>
      <c r="I564" s="136">
        <v>92</v>
      </c>
      <c r="J564" s="27" t="s">
        <v>2412</v>
      </c>
      <c r="K564" s="28">
        <v>740</v>
      </c>
      <c r="L564" s="28" t="s">
        <v>566</v>
      </c>
      <c r="M564" s="38" t="s">
        <v>1856</v>
      </c>
      <c r="N564" s="150" t="s">
        <v>2092</v>
      </c>
      <c r="O564" s="153" t="s">
        <v>1260</v>
      </c>
      <c r="P564" s="153" t="s">
        <v>1260</v>
      </c>
    </row>
    <row r="565" spans="3:16" ht="15.75" thickBot="1">
      <c r="C565" s="2"/>
      <c r="D565" s="13" t="s">
        <v>2430</v>
      </c>
      <c r="E565" s="14">
        <v>1400</v>
      </c>
      <c r="F565" s="15">
        <v>1880</v>
      </c>
      <c r="G565" s="14">
        <v>5720</v>
      </c>
      <c r="H565" s="28">
        <v>62</v>
      </c>
      <c r="I565" s="136">
        <v>71</v>
      </c>
      <c r="J565" s="27" t="s">
        <v>2412</v>
      </c>
      <c r="K565" s="28">
        <v>740</v>
      </c>
      <c r="L565" s="28" t="s">
        <v>566</v>
      </c>
      <c r="M565" s="38" t="s">
        <v>1856</v>
      </c>
      <c r="N565" s="150" t="s">
        <v>2092</v>
      </c>
      <c r="O565" s="153" t="s">
        <v>1260</v>
      </c>
      <c r="P565" s="153" t="s">
        <v>1260</v>
      </c>
    </row>
    <row r="566" spans="3:16" ht="15.75" thickBot="1">
      <c r="C566" s="2"/>
      <c r="D566" s="13" t="s">
        <v>2431</v>
      </c>
      <c r="E566" s="14">
        <v>900</v>
      </c>
      <c r="F566" s="15">
        <v>1200</v>
      </c>
      <c r="G566" s="14">
        <v>5330</v>
      </c>
      <c r="H566" s="28">
        <v>41</v>
      </c>
      <c r="I566" s="136">
        <v>48</v>
      </c>
      <c r="J566" s="27" t="s">
        <v>2412</v>
      </c>
      <c r="K566" s="28">
        <v>740</v>
      </c>
      <c r="L566" s="28" t="s">
        <v>566</v>
      </c>
      <c r="M566" s="38" t="s">
        <v>1856</v>
      </c>
      <c r="N566" s="150" t="s">
        <v>2092</v>
      </c>
      <c r="O566" s="153" t="s">
        <v>1260</v>
      </c>
      <c r="P566" s="153" t="s">
        <v>1260</v>
      </c>
    </row>
    <row r="567" spans="3:16" ht="15.75" thickBot="1">
      <c r="C567" s="2"/>
      <c r="D567" s="13" t="s">
        <v>2432</v>
      </c>
      <c r="E567" s="14">
        <v>1800</v>
      </c>
      <c r="F567" s="15">
        <v>2420</v>
      </c>
      <c r="G567" s="14">
        <v>5500</v>
      </c>
      <c r="H567" s="28">
        <v>80</v>
      </c>
      <c r="I567" s="136">
        <v>92</v>
      </c>
      <c r="J567" s="27" t="s">
        <v>2412</v>
      </c>
      <c r="K567" s="28">
        <v>740</v>
      </c>
      <c r="L567" s="28" t="s">
        <v>566</v>
      </c>
      <c r="M567" s="38" t="s">
        <v>1856</v>
      </c>
      <c r="N567" s="150" t="s">
        <v>2092</v>
      </c>
      <c r="O567" s="153" t="s">
        <v>1260</v>
      </c>
      <c r="P567" s="153" t="s">
        <v>1260</v>
      </c>
    </row>
    <row r="568" spans="3:16" ht="15.75" thickBot="1">
      <c r="C568" s="2"/>
      <c r="D568" s="13" t="s">
        <v>2433</v>
      </c>
      <c r="E568" s="14">
        <v>1400</v>
      </c>
      <c r="F568" s="15">
        <v>1880</v>
      </c>
      <c r="G568" s="14">
        <v>5170</v>
      </c>
      <c r="H568" s="28">
        <v>71</v>
      </c>
      <c r="I568" s="136">
        <v>81</v>
      </c>
      <c r="J568" s="27" t="s">
        <v>2412</v>
      </c>
      <c r="K568" s="28">
        <v>740</v>
      </c>
      <c r="L568" s="28" t="s">
        <v>566</v>
      </c>
      <c r="M568" s="38" t="s">
        <v>1856</v>
      </c>
      <c r="N568" s="150" t="s">
        <v>2092</v>
      </c>
      <c r="O568" s="153" t="s">
        <v>1260</v>
      </c>
      <c r="P568" s="153" t="s">
        <v>1260</v>
      </c>
    </row>
    <row r="569" spans="3:16" ht="15.75" thickBot="1">
      <c r="C569" s="2"/>
      <c r="D569" s="13" t="s">
        <v>2434</v>
      </c>
      <c r="E569" s="14">
        <v>1000</v>
      </c>
      <c r="F569" s="15">
        <v>1350</v>
      </c>
      <c r="G569" s="14">
        <v>4840</v>
      </c>
      <c r="H569" s="28">
        <v>55</v>
      </c>
      <c r="I569" s="136">
        <v>63</v>
      </c>
      <c r="J569" s="27" t="s">
        <v>2412</v>
      </c>
      <c r="K569" s="28">
        <v>740</v>
      </c>
      <c r="L569" s="28" t="s">
        <v>566</v>
      </c>
      <c r="M569" s="38" t="s">
        <v>1856</v>
      </c>
      <c r="N569" s="150" t="s">
        <v>2092</v>
      </c>
      <c r="O569" s="153" t="s">
        <v>1260</v>
      </c>
      <c r="P569" s="153" t="s">
        <v>1260</v>
      </c>
    </row>
    <row r="570" spans="3:16" ht="15.75" thickBot="1">
      <c r="C570" s="2"/>
      <c r="D570" s="13" t="s">
        <v>2435</v>
      </c>
      <c r="E570" s="14">
        <v>630</v>
      </c>
      <c r="F570" s="15">
        <v>850</v>
      </c>
      <c r="G570" s="14">
        <v>4510</v>
      </c>
      <c r="H570" s="28">
        <v>37</v>
      </c>
      <c r="I570" s="136">
        <v>42</v>
      </c>
      <c r="J570" s="27" t="s">
        <v>2412</v>
      </c>
      <c r="K570" s="28">
        <v>740</v>
      </c>
      <c r="L570" s="28" t="s">
        <v>566</v>
      </c>
      <c r="M570" s="38" t="s">
        <v>1856</v>
      </c>
      <c r="N570" s="150" t="s">
        <v>2092</v>
      </c>
      <c r="O570" s="153" t="s">
        <v>1260</v>
      </c>
      <c r="P570" s="153" t="s">
        <v>1260</v>
      </c>
    </row>
    <row r="571" spans="3:16" ht="15.75" thickBot="1">
      <c r="C571" s="2"/>
      <c r="D571" s="13" t="s">
        <v>2436</v>
      </c>
      <c r="E571" s="14">
        <v>400</v>
      </c>
      <c r="F571" s="15">
        <v>540</v>
      </c>
      <c r="G571" s="14">
        <v>4700</v>
      </c>
      <c r="H571" s="28">
        <v>24</v>
      </c>
      <c r="I571" s="136">
        <v>31</v>
      </c>
      <c r="J571" s="27" t="s">
        <v>2437</v>
      </c>
      <c r="K571" s="28">
        <v>980</v>
      </c>
      <c r="L571" s="28" t="s">
        <v>566</v>
      </c>
      <c r="M571" s="38" t="s">
        <v>1830</v>
      </c>
      <c r="N571" s="100" t="s">
        <v>2092</v>
      </c>
      <c r="O571" s="153" t="s">
        <v>1260</v>
      </c>
      <c r="P571" s="153" t="s">
        <v>1260</v>
      </c>
    </row>
    <row r="572" spans="3:16" ht="15.75" thickBot="1">
      <c r="C572" s="2"/>
      <c r="D572" s="13" t="s">
        <v>2438</v>
      </c>
      <c r="E572" s="14">
        <v>355</v>
      </c>
      <c r="F572" s="15">
        <v>480</v>
      </c>
      <c r="G572" s="14">
        <v>4418</v>
      </c>
      <c r="H572" s="28">
        <v>21</v>
      </c>
      <c r="I572" s="136">
        <v>27</v>
      </c>
      <c r="J572" s="27" t="s">
        <v>2437</v>
      </c>
      <c r="K572" s="28">
        <v>980</v>
      </c>
      <c r="L572" s="28" t="s">
        <v>566</v>
      </c>
      <c r="M572" s="38" t="s">
        <v>1830</v>
      </c>
      <c r="N572" s="100" t="s">
        <v>2092</v>
      </c>
      <c r="O572" s="153" t="s">
        <v>1260</v>
      </c>
      <c r="P572" s="153" t="s">
        <v>1260</v>
      </c>
    </row>
    <row r="573" spans="3:16" ht="15.75" thickBot="1">
      <c r="C573" s="2"/>
      <c r="D573" s="13" t="s">
        <v>2439</v>
      </c>
      <c r="E573" s="14">
        <v>280</v>
      </c>
      <c r="F573" s="15">
        <v>380</v>
      </c>
      <c r="G573" s="14">
        <v>4192</v>
      </c>
      <c r="H573" s="28">
        <v>17</v>
      </c>
      <c r="I573" s="136">
        <v>22</v>
      </c>
      <c r="J573" s="27" t="s">
        <v>2437</v>
      </c>
      <c r="K573" s="28">
        <v>980</v>
      </c>
      <c r="L573" s="28" t="s">
        <v>566</v>
      </c>
      <c r="M573" s="38" t="s">
        <v>1830</v>
      </c>
      <c r="N573" s="100" t="s">
        <v>1831</v>
      </c>
      <c r="O573" s="153" t="s">
        <v>1260</v>
      </c>
      <c r="P573" s="153" t="s">
        <v>1260</v>
      </c>
    </row>
    <row r="574" spans="3:16" ht="15.75" thickBot="1">
      <c r="C574" s="2"/>
      <c r="D574" s="13" t="s">
        <v>2440</v>
      </c>
      <c r="E574" s="14">
        <v>315</v>
      </c>
      <c r="F574" s="15">
        <v>430</v>
      </c>
      <c r="G574" s="14">
        <v>4000</v>
      </c>
      <c r="H574" s="28">
        <v>21</v>
      </c>
      <c r="I574" s="136">
        <v>27</v>
      </c>
      <c r="J574" s="27" t="s">
        <v>2437</v>
      </c>
      <c r="K574" s="28">
        <v>980</v>
      </c>
      <c r="L574" s="28" t="s">
        <v>566</v>
      </c>
      <c r="M574" s="38" t="s">
        <v>1830</v>
      </c>
      <c r="N574" s="100" t="s">
        <v>2092</v>
      </c>
      <c r="O574" s="153" t="s">
        <v>1260</v>
      </c>
      <c r="P574" s="153" t="s">
        <v>1260</v>
      </c>
    </row>
    <row r="575" spans="3:16" ht="15.75" thickBot="1">
      <c r="C575" s="2"/>
      <c r="D575" s="13" t="s">
        <v>2441</v>
      </c>
      <c r="E575" s="14">
        <v>280</v>
      </c>
      <c r="F575" s="15">
        <v>380</v>
      </c>
      <c r="G575" s="14">
        <v>3760</v>
      </c>
      <c r="H575" s="28">
        <v>19</v>
      </c>
      <c r="I575" s="136">
        <v>24</v>
      </c>
      <c r="J575" s="27" t="s">
        <v>2437</v>
      </c>
      <c r="K575" s="28">
        <v>980</v>
      </c>
      <c r="L575" s="28" t="s">
        <v>566</v>
      </c>
      <c r="M575" s="38" t="s">
        <v>1830</v>
      </c>
      <c r="N575" s="100" t="s">
        <v>1831</v>
      </c>
      <c r="O575" s="153" t="s">
        <v>1260</v>
      </c>
      <c r="P575" s="153" t="s">
        <v>1260</v>
      </c>
    </row>
    <row r="576" spans="3:16" ht="15.75" thickBot="1">
      <c r="C576" s="2"/>
      <c r="D576" s="13" t="s">
        <v>2442</v>
      </c>
      <c r="E576" s="14">
        <v>200</v>
      </c>
      <c r="F576" s="15">
        <v>270</v>
      </c>
      <c r="G576" s="14">
        <v>3568</v>
      </c>
      <c r="H576" s="28">
        <v>15</v>
      </c>
      <c r="I576" s="136">
        <v>19</v>
      </c>
      <c r="J576" s="27" t="s">
        <v>2437</v>
      </c>
      <c r="K576" s="28">
        <v>980</v>
      </c>
      <c r="L576" s="28" t="s">
        <v>566</v>
      </c>
      <c r="M576" s="38" t="s">
        <v>1830</v>
      </c>
      <c r="N576" s="100" t="s">
        <v>1831</v>
      </c>
      <c r="O576" s="153" t="s">
        <v>1260</v>
      </c>
      <c r="P576" s="153" t="s">
        <v>1260</v>
      </c>
    </row>
    <row r="577" spans="3:16" ht="15.75" thickBot="1">
      <c r="C577" s="2"/>
      <c r="D577" s="13" t="s">
        <v>2443</v>
      </c>
      <c r="E577" s="14">
        <v>355</v>
      </c>
      <c r="F577" s="15">
        <v>480</v>
      </c>
      <c r="G577" s="14">
        <v>4700</v>
      </c>
      <c r="H577" s="28">
        <v>19</v>
      </c>
      <c r="I577" s="136">
        <v>22</v>
      </c>
      <c r="J577" s="27" t="s">
        <v>2437</v>
      </c>
      <c r="K577" s="28">
        <v>980</v>
      </c>
      <c r="L577" s="28" t="s">
        <v>566</v>
      </c>
      <c r="M577" s="38" t="s">
        <v>1830</v>
      </c>
      <c r="N577" s="100" t="s">
        <v>2092</v>
      </c>
      <c r="O577" s="153" t="s">
        <v>1260</v>
      </c>
      <c r="P577" s="153" t="s">
        <v>1260</v>
      </c>
    </row>
    <row r="578" spans="3:16" ht="15.75" thickBot="1">
      <c r="C578" s="2"/>
      <c r="D578" s="13" t="s">
        <v>2444</v>
      </c>
      <c r="E578" s="14">
        <v>315</v>
      </c>
      <c r="F578" s="15">
        <v>430</v>
      </c>
      <c r="G578" s="14">
        <v>4512</v>
      </c>
      <c r="H578" s="28">
        <v>18</v>
      </c>
      <c r="I578" s="136">
        <v>20</v>
      </c>
      <c r="J578" s="27" t="s">
        <v>2437</v>
      </c>
      <c r="K578" s="28">
        <v>980</v>
      </c>
      <c r="L578" s="28" t="s">
        <v>566</v>
      </c>
      <c r="M578" s="38" t="s">
        <v>1830</v>
      </c>
      <c r="N578" s="100" t="s">
        <v>2092</v>
      </c>
      <c r="O578" s="153" t="s">
        <v>1260</v>
      </c>
      <c r="P578" s="153" t="s">
        <v>1260</v>
      </c>
    </row>
    <row r="579" spans="3:16" ht="15.75" thickBot="1">
      <c r="C579" s="2"/>
      <c r="D579" s="13" t="s">
        <v>2445</v>
      </c>
      <c r="E579" s="14">
        <v>280</v>
      </c>
      <c r="F579" s="15">
        <v>380</v>
      </c>
      <c r="G579" s="14">
        <v>4000</v>
      </c>
      <c r="H579" s="28">
        <v>17</v>
      </c>
      <c r="I579" s="136">
        <v>20</v>
      </c>
      <c r="J579" s="27" t="s">
        <v>2437</v>
      </c>
      <c r="K579" s="28">
        <v>980</v>
      </c>
      <c r="L579" s="28" t="s">
        <v>566</v>
      </c>
      <c r="M579" s="38" t="s">
        <v>1830</v>
      </c>
      <c r="N579" s="100" t="s">
        <v>1831</v>
      </c>
      <c r="O579" s="153" t="s">
        <v>1260</v>
      </c>
      <c r="P579" s="153" t="s">
        <v>1260</v>
      </c>
    </row>
    <row r="580" spans="3:16" ht="15.75" thickBot="1">
      <c r="C580" s="2"/>
      <c r="D580" s="13" t="s">
        <v>2446</v>
      </c>
      <c r="E580" s="14">
        <v>250</v>
      </c>
      <c r="F580" s="15">
        <v>340</v>
      </c>
      <c r="G580" s="14">
        <v>3840</v>
      </c>
      <c r="H580" s="28">
        <v>16</v>
      </c>
      <c r="I580" s="136">
        <v>18</v>
      </c>
      <c r="J580" s="27" t="s">
        <v>2437</v>
      </c>
      <c r="K580" s="28">
        <v>980</v>
      </c>
      <c r="L580" s="28" t="s">
        <v>566</v>
      </c>
      <c r="M580" s="38" t="s">
        <v>1830</v>
      </c>
      <c r="N580" s="100" t="s">
        <v>1831</v>
      </c>
      <c r="O580" s="153" t="s">
        <v>1260</v>
      </c>
      <c r="P580" s="153" t="s">
        <v>1260</v>
      </c>
    </row>
    <row r="581" spans="3:16" ht="15.75" thickBot="1">
      <c r="C581" s="2"/>
      <c r="D581" s="13" t="s">
        <v>2447</v>
      </c>
      <c r="E581" s="14">
        <v>800</v>
      </c>
      <c r="F581" s="15">
        <v>1080</v>
      </c>
      <c r="G581" s="14">
        <v>6500</v>
      </c>
      <c r="H581" s="28">
        <v>36</v>
      </c>
      <c r="I581" s="136">
        <v>45</v>
      </c>
      <c r="J581" s="27" t="s">
        <v>2448</v>
      </c>
      <c r="K581" s="28">
        <v>980</v>
      </c>
      <c r="L581" s="28" t="s">
        <v>566</v>
      </c>
      <c r="M581" s="38" t="s">
        <v>1830</v>
      </c>
      <c r="N581" s="100" t="s">
        <v>2092</v>
      </c>
      <c r="O581" s="153" t="s">
        <v>1260</v>
      </c>
      <c r="P581" s="153" t="s">
        <v>1260</v>
      </c>
    </row>
    <row r="582" spans="3:16" ht="15.75" thickBot="1">
      <c r="C582" s="2"/>
      <c r="D582" s="13" t="s">
        <v>2449</v>
      </c>
      <c r="E582" s="14">
        <v>710</v>
      </c>
      <c r="F582" s="15">
        <v>950</v>
      </c>
      <c r="G582" s="14">
        <v>6110</v>
      </c>
      <c r="H582" s="28">
        <v>32</v>
      </c>
      <c r="I582" s="136">
        <v>40</v>
      </c>
      <c r="J582" s="27" t="s">
        <v>2448</v>
      </c>
      <c r="K582" s="28">
        <v>980</v>
      </c>
      <c r="L582" s="28" t="s">
        <v>566</v>
      </c>
      <c r="M582" s="38" t="s">
        <v>1830</v>
      </c>
      <c r="N582" s="100" t="s">
        <v>2092</v>
      </c>
      <c r="O582" s="153" t="s">
        <v>1260</v>
      </c>
      <c r="P582" s="153" t="s">
        <v>1260</v>
      </c>
    </row>
    <row r="583" spans="3:16" ht="15.75" thickBot="1">
      <c r="C583" s="2"/>
      <c r="D583" s="13" t="s">
        <v>2450</v>
      </c>
      <c r="E583" s="14">
        <v>560</v>
      </c>
      <c r="F583" s="15">
        <v>750</v>
      </c>
      <c r="G583" s="14">
        <v>5798</v>
      </c>
      <c r="H583" s="28">
        <v>25</v>
      </c>
      <c r="I583" s="136">
        <v>32</v>
      </c>
      <c r="J583" s="27" t="s">
        <v>2448</v>
      </c>
      <c r="K583" s="28">
        <v>980</v>
      </c>
      <c r="L583" s="28" t="s">
        <v>566</v>
      </c>
      <c r="M583" s="38" t="s">
        <v>1830</v>
      </c>
      <c r="N583" s="100" t="s">
        <v>2092</v>
      </c>
      <c r="O583" s="153" t="s">
        <v>1260</v>
      </c>
      <c r="P583" s="153" t="s">
        <v>1260</v>
      </c>
    </row>
    <row r="584" spans="3:16" ht="15.75" thickBot="1">
      <c r="C584" s="2"/>
      <c r="D584" s="13" t="s">
        <v>2451</v>
      </c>
      <c r="E584" s="14">
        <v>355</v>
      </c>
      <c r="F584" s="15">
        <v>480</v>
      </c>
      <c r="G584" s="14">
        <v>5480</v>
      </c>
      <c r="H584" s="28">
        <v>18</v>
      </c>
      <c r="I584" s="136">
        <v>22</v>
      </c>
      <c r="J584" s="27" t="s">
        <v>2448</v>
      </c>
      <c r="K584" s="28">
        <v>980</v>
      </c>
      <c r="L584" s="28" t="s">
        <v>566</v>
      </c>
      <c r="M584" s="38" t="s">
        <v>1830</v>
      </c>
      <c r="N584" s="100" t="s">
        <v>2092</v>
      </c>
      <c r="O584" s="153" t="s">
        <v>1260</v>
      </c>
      <c r="P584" s="153" t="s">
        <v>1260</v>
      </c>
    </row>
    <row r="585" spans="3:16" ht="15.75" thickBot="1">
      <c r="C585" s="2"/>
      <c r="D585" s="13" t="s">
        <v>2452</v>
      </c>
      <c r="E585" s="14">
        <v>630</v>
      </c>
      <c r="F585" s="15">
        <v>850</v>
      </c>
      <c r="G585" s="14">
        <v>5500</v>
      </c>
      <c r="H585" s="28">
        <v>32</v>
      </c>
      <c r="I585" s="136">
        <v>40</v>
      </c>
      <c r="J585" s="27" t="s">
        <v>2448</v>
      </c>
      <c r="K585" s="28">
        <v>980</v>
      </c>
      <c r="L585" s="28" t="s">
        <v>566</v>
      </c>
      <c r="M585" s="38" t="s">
        <v>1830</v>
      </c>
      <c r="N585" s="100" t="s">
        <v>2092</v>
      </c>
      <c r="O585" s="153" t="s">
        <v>1260</v>
      </c>
      <c r="P585" s="153" t="s">
        <v>1260</v>
      </c>
    </row>
    <row r="586" spans="3:16" ht="15.75" thickBot="1">
      <c r="C586" s="2"/>
      <c r="D586" s="13" t="s">
        <v>2453</v>
      </c>
      <c r="E586" s="14">
        <v>560</v>
      </c>
      <c r="F586" s="15">
        <v>750</v>
      </c>
      <c r="G586" s="14">
        <v>5170</v>
      </c>
      <c r="H586" s="28">
        <v>28</v>
      </c>
      <c r="I586" s="136">
        <v>35</v>
      </c>
      <c r="J586" s="27" t="s">
        <v>2448</v>
      </c>
      <c r="K586" s="28">
        <v>980</v>
      </c>
      <c r="L586" s="28" t="s">
        <v>566</v>
      </c>
      <c r="M586" s="38" t="s">
        <v>1830</v>
      </c>
      <c r="N586" s="100" t="s">
        <v>2092</v>
      </c>
      <c r="O586" s="153" t="s">
        <v>1260</v>
      </c>
      <c r="P586" s="153" t="s">
        <v>1260</v>
      </c>
    </row>
    <row r="587" spans="3:16" ht="15.75" thickBot="1">
      <c r="C587" s="2"/>
      <c r="D587" s="13" t="s">
        <v>2454</v>
      </c>
      <c r="E587" s="14">
        <v>400</v>
      </c>
      <c r="F587" s="15">
        <v>540</v>
      </c>
      <c r="G587" s="14">
        <v>4906</v>
      </c>
      <c r="H587" s="28">
        <v>22</v>
      </c>
      <c r="I587" s="136">
        <v>28</v>
      </c>
      <c r="J587" s="27" t="s">
        <v>2448</v>
      </c>
      <c r="K587" s="28">
        <v>980</v>
      </c>
      <c r="L587" s="28" t="s">
        <v>566</v>
      </c>
      <c r="M587" s="38" t="s">
        <v>1830</v>
      </c>
      <c r="N587" s="100" t="s">
        <v>2092</v>
      </c>
      <c r="O587" s="153" t="s">
        <v>1260</v>
      </c>
      <c r="P587" s="153" t="s">
        <v>1260</v>
      </c>
    </row>
    <row r="588" spans="3:16" ht="15.75" thickBot="1">
      <c r="C588" s="2"/>
      <c r="D588" s="13" t="s">
        <v>2455</v>
      </c>
      <c r="E588" s="14">
        <v>280</v>
      </c>
      <c r="F588" s="15">
        <v>380</v>
      </c>
      <c r="G588" s="14">
        <v>4637</v>
      </c>
      <c r="H588" s="28">
        <v>16</v>
      </c>
      <c r="I588" s="136">
        <v>20</v>
      </c>
      <c r="J588" s="27" t="s">
        <v>2448</v>
      </c>
      <c r="K588" s="28">
        <v>980</v>
      </c>
      <c r="L588" s="28" t="s">
        <v>566</v>
      </c>
      <c r="M588" s="38" t="s">
        <v>1830</v>
      </c>
      <c r="N588" s="100" t="s">
        <v>1831</v>
      </c>
      <c r="O588" s="153" t="s">
        <v>1260</v>
      </c>
      <c r="P588" s="153" t="s">
        <v>1260</v>
      </c>
    </row>
    <row r="589" spans="3:16" ht="15.75" thickBot="1">
      <c r="C589" s="2"/>
      <c r="D589" s="13" t="s">
        <v>2456</v>
      </c>
      <c r="E589" s="14">
        <v>1120</v>
      </c>
      <c r="F589" s="15">
        <v>1500</v>
      </c>
      <c r="G589" s="14">
        <v>6500</v>
      </c>
      <c r="H589" s="28">
        <v>47</v>
      </c>
      <c r="I589" s="136">
        <v>54</v>
      </c>
      <c r="J589" s="27" t="s">
        <v>2448</v>
      </c>
      <c r="K589" s="28">
        <v>980</v>
      </c>
      <c r="L589" s="28" t="s">
        <v>566</v>
      </c>
      <c r="M589" s="38" t="s">
        <v>1830</v>
      </c>
      <c r="N589" s="150" t="s">
        <v>2092</v>
      </c>
      <c r="O589" s="153" t="s">
        <v>1260</v>
      </c>
      <c r="P589" s="153" t="s">
        <v>1260</v>
      </c>
    </row>
    <row r="590" spans="3:16" ht="15.75" thickBot="1">
      <c r="C590" s="2"/>
      <c r="D590" s="13" t="s">
        <v>2457</v>
      </c>
      <c r="E590" s="14">
        <v>900</v>
      </c>
      <c r="F590" s="15">
        <v>1200</v>
      </c>
      <c r="G590" s="14">
        <v>6110</v>
      </c>
      <c r="H590" s="28">
        <v>42</v>
      </c>
      <c r="I590" s="136">
        <v>48</v>
      </c>
      <c r="J590" s="27" t="s">
        <v>2448</v>
      </c>
      <c r="K590" s="28">
        <v>980</v>
      </c>
      <c r="L590" s="28" t="s">
        <v>566</v>
      </c>
      <c r="M590" s="38" t="s">
        <v>1830</v>
      </c>
      <c r="N590" s="150" t="s">
        <v>2092</v>
      </c>
      <c r="O590" s="153" t="s">
        <v>1260</v>
      </c>
      <c r="P590" s="153" t="s">
        <v>1260</v>
      </c>
    </row>
    <row r="591" spans="3:16" ht="15.75" thickBot="1">
      <c r="C591" s="2"/>
      <c r="D591" s="13" t="s">
        <v>2458</v>
      </c>
      <c r="E591" s="14">
        <v>710</v>
      </c>
      <c r="F591" s="15">
        <v>950</v>
      </c>
      <c r="G591" s="14">
        <v>5798</v>
      </c>
      <c r="H591" s="28">
        <v>33</v>
      </c>
      <c r="I591" s="136">
        <v>38</v>
      </c>
      <c r="J591" s="27" t="s">
        <v>2448</v>
      </c>
      <c r="K591" s="28">
        <v>980</v>
      </c>
      <c r="L591" s="28" t="s">
        <v>566</v>
      </c>
      <c r="M591" s="38" t="s">
        <v>1830</v>
      </c>
      <c r="N591" s="150" t="s">
        <v>2092</v>
      </c>
      <c r="O591" s="153" t="s">
        <v>1260</v>
      </c>
      <c r="P591" s="153" t="s">
        <v>1260</v>
      </c>
    </row>
    <row r="592" spans="3:16" ht="15.75" thickBot="1">
      <c r="C592" s="2"/>
      <c r="D592" s="13" t="s">
        <v>2459</v>
      </c>
      <c r="E592" s="14">
        <v>450</v>
      </c>
      <c r="F592" s="15">
        <v>600</v>
      </c>
      <c r="G592" s="14">
        <v>5480</v>
      </c>
      <c r="H592" s="28">
        <v>23</v>
      </c>
      <c r="I592" s="136">
        <v>27</v>
      </c>
      <c r="J592" s="27" t="s">
        <v>2448</v>
      </c>
      <c r="K592" s="28">
        <v>980</v>
      </c>
      <c r="L592" s="28" t="s">
        <v>566</v>
      </c>
      <c r="M592" s="38" t="s">
        <v>1830</v>
      </c>
      <c r="N592" s="150" t="s">
        <v>2092</v>
      </c>
      <c r="O592" s="153" t="s">
        <v>1260</v>
      </c>
      <c r="P592" s="153" t="s">
        <v>1260</v>
      </c>
    </row>
    <row r="593" spans="3:16" ht="15.75" thickBot="1">
      <c r="C593" s="2"/>
      <c r="D593" s="13" t="s">
        <v>2460</v>
      </c>
      <c r="E593" s="14">
        <v>800</v>
      </c>
      <c r="F593" s="15">
        <v>1080</v>
      </c>
      <c r="G593" s="14">
        <v>5500</v>
      </c>
      <c r="H593" s="28">
        <v>42</v>
      </c>
      <c r="I593" s="136">
        <v>48</v>
      </c>
      <c r="J593" s="27" t="s">
        <v>2448</v>
      </c>
      <c r="K593" s="28">
        <v>980</v>
      </c>
      <c r="L593" s="28" t="s">
        <v>566</v>
      </c>
      <c r="M593" s="38" t="s">
        <v>1830</v>
      </c>
      <c r="N593" s="150" t="s">
        <v>2092</v>
      </c>
      <c r="O593" s="153" t="s">
        <v>1260</v>
      </c>
      <c r="P593" s="153" t="s">
        <v>1260</v>
      </c>
    </row>
    <row r="594" spans="3:16" ht="15.75" thickBot="1">
      <c r="C594" s="2"/>
      <c r="D594" s="13" t="s">
        <v>2461</v>
      </c>
      <c r="E594" s="14">
        <v>710</v>
      </c>
      <c r="F594" s="15">
        <v>950</v>
      </c>
      <c r="G594" s="14">
        <v>5170</v>
      </c>
      <c r="H594" s="28">
        <v>37</v>
      </c>
      <c r="I594" s="136">
        <v>42</v>
      </c>
      <c r="J594" s="27" t="s">
        <v>2448</v>
      </c>
      <c r="K594" s="28">
        <v>980</v>
      </c>
      <c r="L594" s="28" t="s">
        <v>566</v>
      </c>
      <c r="M594" s="38" t="s">
        <v>1830</v>
      </c>
      <c r="N594" s="150" t="s">
        <v>2092</v>
      </c>
      <c r="O594" s="153" t="s">
        <v>1260</v>
      </c>
      <c r="P594" s="153" t="s">
        <v>1260</v>
      </c>
    </row>
    <row r="595" spans="3:16" ht="15.75" thickBot="1">
      <c r="C595" s="2"/>
      <c r="D595" s="13" t="s">
        <v>2462</v>
      </c>
      <c r="E595" s="14">
        <v>560</v>
      </c>
      <c r="F595" s="15">
        <v>750</v>
      </c>
      <c r="G595" s="14">
        <v>4906</v>
      </c>
      <c r="H595" s="28">
        <v>30</v>
      </c>
      <c r="I595" s="136">
        <v>34</v>
      </c>
      <c r="J595" s="27" t="s">
        <v>2448</v>
      </c>
      <c r="K595" s="28">
        <v>980</v>
      </c>
      <c r="L595" s="28" t="s">
        <v>566</v>
      </c>
      <c r="M595" s="38" t="s">
        <v>1830</v>
      </c>
      <c r="N595" s="150" t="s">
        <v>2092</v>
      </c>
      <c r="O595" s="153" t="s">
        <v>1260</v>
      </c>
      <c r="P595" s="153" t="s">
        <v>1260</v>
      </c>
    </row>
    <row r="596" spans="3:16" ht="15.75" thickBot="1">
      <c r="C596" s="2"/>
      <c r="D596" s="13" t="s">
        <v>2463</v>
      </c>
      <c r="E596" s="14">
        <v>355</v>
      </c>
      <c r="F596" s="15">
        <v>480</v>
      </c>
      <c r="G596" s="14">
        <v>4637</v>
      </c>
      <c r="H596" s="28">
        <v>21</v>
      </c>
      <c r="I596" s="136">
        <v>24</v>
      </c>
      <c r="J596" s="27" t="s">
        <v>2448</v>
      </c>
      <c r="K596" s="28">
        <v>980</v>
      </c>
      <c r="L596" s="28" t="s">
        <v>566</v>
      </c>
      <c r="M596" s="38" t="s">
        <v>1830</v>
      </c>
      <c r="N596" s="150" t="s">
        <v>2092</v>
      </c>
      <c r="O596" s="153" t="s">
        <v>1260</v>
      </c>
      <c r="P596" s="153" t="s">
        <v>1260</v>
      </c>
    </row>
    <row r="597" spans="3:16" ht="15.75" thickBot="1">
      <c r="C597" s="2"/>
      <c r="D597" s="13" t="s">
        <v>2464</v>
      </c>
      <c r="E597" s="14">
        <v>560</v>
      </c>
      <c r="F597" s="15">
        <v>750</v>
      </c>
      <c r="G597" s="14">
        <v>6500</v>
      </c>
      <c r="H597" s="28">
        <v>24</v>
      </c>
      <c r="I597" s="136">
        <v>30</v>
      </c>
      <c r="J597" s="27" t="s">
        <v>2448</v>
      </c>
      <c r="K597" s="28">
        <v>740</v>
      </c>
      <c r="L597" s="28" t="s">
        <v>566</v>
      </c>
      <c r="M597" s="38" t="s">
        <v>1830</v>
      </c>
      <c r="N597" s="150" t="s">
        <v>2092</v>
      </c>
      <c r="O597" s="153" t="s">
        <v>1260</v>
      </c>
      <c r="P597" s="153" t="s">
        <v>1260</v>
      </c>
    </row>
    <row r="598" spans="3:16" ht="15.75" thickBot="1">
      <c r="C598" s="2"/>
      <c r="D598" s="13" t="s">
        <v>2465</v>
      </c>
      <c r="E598" s="14">
        <v>450</v>
      </c>
      <c r="F598" s="15">
        <v>600</v>
      </c>
      <c r="G598" s="14">
        <v>6110</v>
      </c>
      <c r="H598" s="28">
        <v>21</v>
      </c>
      <c r="I598" s="136">
        <v>27</v>
      </c>
      <c r="J598" s="27" t="s">
        <v>2448</v>
      </c>
      <c r="K598" s="28">
        <v>740</v>
      </c>
      <c r="L598" s="28" t="s">
        <v>566</v>
      </c>
      <c r="M598" s="38" t="s">
        <v>1830</v>
      </c>
      <c r="N598" s="150" t="s">
        <v>2092</v>
      </c>
      <c r="O598" s="153" t="s">
        <v>1260</v>
      </c>
      <c r="P598" s="153" t="s">
        <v>1260</v>
      </c>
    </row>
    <row r="599" spans="3:16" ht="15.75" thickBot="1">
      <c r="C599" s="2"/>
      <c r="D599" s="13" t="s">
        <v>2466</v>
      </c>
      <c r="E599" s="14">
        <v>400</v>
      </c>
      <c r="F599" s="15">
        <v>540</v>
      </c>
      <c r="G599" s="14">
        <v>5850</v>
      </c>
      <c r="H599" s="28">
        <v>19</v>
      </c>
      <c r="I599" s="136">
        <v>24</v>
      </c>
      <c r="J599" s="27" t="s">
        <v>2448</v>
      </c>
      <c r="K599" s="28">
        <v>740</v>
      </c>
      <c r="L599" s="28" t="s">
        <v>566</v>
      </c>
      <c r="M599" s="38" t="s">
        <v>1830</v>
      </c>
      <c r="N599" s="150" t="s">
        <v>2092</v>
      </c>
      <c r="O599" s="153" t="s">
        <v>1260</v>
      </c>
      <c r="P599" s="153" t="s">
        <v>1260</v>
      </c>
    </row>
    <row r="600" spans="3:16" ht="15.75" thickBot="1">
      <c r="C600" s="2"/>
      <c r="D600" s="13" t="s">
        <v>2467</v>
      </c>
      <c r="E600" s="14">
        <v>450</v>
      </c>
      <c r="F600" s="15">
        <v>600</v>
      </c>
      <c r="G600" s="14">
        <v>5500</v>
      </c>
      <c r="H600" s="28">
        <v>22</v>
      </c>
      <c r="I600" s="136">
        <v>27</v>
      </c>
      <c r="J600" s="27" t="s">
        <v>2448</v>
      </c>
      <c r="K600" s="28">
        <v>740</v>
      </c>
      <c r="L600" s="28" t="s">
        <v>566</v>
      </c>
      <c r="M600" s="38" t="s">
        <v>1830</v>
      </c>
      <c r="N600" s="150" t="s">
        <v>2092</v>
      </c>
      <c r="O600" s="153" t="s">
        <v>1260</v>
      </c>
      <c r="P600" s="153" t="s">
        <v>1260</v>
      </c>
    </row>
    <row r="601" spans="3:16" ht="15.75" thickBot="1">
      <c r="C601" s="2"/>
      <c r="D601" s="13" t="s">
        <v>2468</v>
      </c>
      <c r="E601" s="14">
        <v>400</v>
      </c>
      <c r="F601" s="15">
        <v>540</v>
      </c>
      <c r="G601" s="14">
        <v>5280</v>
      </c>
      <c r="H601" s="28">
        <v>20</v>
      </c>
      <c r="I601" s="136">
        <v>25</v>
      </c>
      <c r="J601" s="27" t="s">
        <v>2448</v>
      </c>
      <c r="K601" s="28">
        <v>740</v>
      </c>
      <c r="L601" s="28" t="s">
        <v>566</v>
      </c>
      <c r="M601" s="38" t="s">
        <v>1830</v>
      </c>
      <c r="N601" s="150" t="s">
        <v>2092</v>
      </c>
      <c r="O601" s="153" t="s">
        <v>1260</v>
      </c>
      <c r="P601" s="153" t="s">
        <v>1260</v>
      </c>
    </row>
    <row r="602" spans="3:16" ht="15.75" thickBot="1">
      <c r="C602" s="2"/>
      <c r="D602" s="13" t="s">
        <v>2469</v>
      </c>
      <c r="E602" s="14">
        <v>355</v>
      </c>
      <c r="F602" s="15">
        <v>480</v>
      </c>
      <c r="G602" s="14">
        <v>5060</v>
      </c>
      <c r="H602" s="28">
        <v>19</v>
      </c>
      <c r="I602" s="136">
        <v>23</v>
      </c>
      <c r="J602" s="27" t="s">
        <v>2448</v>
      </c>
      <c r="K602" s="28">
        <v>740</v>
      </c>
      <c r="L602" s="28" t="s">
        <v>566</v>
      </c>
      <c r="M602" s="38" t="s">
        <v>1830</v>
      </c>
      <c r="N602" s="150" t="s">
        <v>2092</v>
      </c>
      <c r="O602" s="153" t="s">
        <v>1260</v>
      </c>
      <c r="P602" s="153" t="s">
        <v>1260</v>
      </c>
    </row>
    <row r="603" spans="3:16" ht="15.75" thickBot="1">
      <c r="C603" s="2"/>
      <c r="D603" s="13" t="s">
        <v>2470</v>
      </c>
      <c r="E603" s="14">
        <v>800</v>
      </c>
      <c r="F603" s="15">
        <v>1080</v>
      </c>
      <c r="G603" s="14">
        <v>6500</v>
      </c>
      <c r="H603" s="28">
        <v>34</v>
      </c>
      <c r="I603" s="136">
        <v>39</v>
      </c>
      <c r="J603" s="27" t="s">
        <v>2448</v>
      </c>
      <c r="K603" s="28">
        <v>740</v>
      </c>
      <c r="L603" s="28" t="s">
        <v>566</v>
      </c>
      <c r="M603" s="38" t="s">
        <v>1830</v>
      </c>
      <c r="N603" s="150" t="s">
        <v>2092</v>
      </c>
      <c r="O603" s="153" t="s">
        <v>1260</v>
      </c>
      <c r="P603" s="153" t="s">
        <v>1260</v>
      </c>
    </row>
    <row r="604" spans="3:16" ht="15.75" thickBot="1">
      <c r="C604" s="2"/>
      <c r="D604" s="13" t="s">
        <v>2471</v>
      </c>
      <c r="E604" s="14">
        <v>630</v>
      </c>
      <c r="F604" s="15">
        <v>850</v>
      </c>
      <c r="G604" s="14">
        <v>6110</v>
      </c>
      <c r="H604" s="28">
        <v>30</v>
      </c>
      <c r="I604" s="136">
        <v>34</v>
      </c>
      <c r="J604" s="27" t="s">
        <v>2448</v>
      </c>
      <c r="K604" s="28">
        <v>740</v>
      </c>
      <c r="L604" s="28" t="s">
        <v>566</v>
      </c>
      <c r="M604" s="38" t="s">
        <v>1830</v>
      </c>
      <c r="N604" s="150" t="s">
        <v>2092</v>
      </c>
      <c r="O604" s="153" t="s">
        <v>1260</v>
      </c>
      <c r="P604" s="153" t="s">
        <v>1260</v>
      </c>
    </row>
    <row r="605" spans="3:16" ht="15.75" thickBot="1">
      <c r="C605" s="2"/>
      <c r="D605" s="13" t="s">
        <v>2472</v>
      </c>
      <c r="E605" s="14">
        <v>500</v>
      </c>
      <c r="F605" s="15">
        <v>670</v>
      </c>
      <c r="G605" s="14">
        <v>5798</v>
      </c>
      <c r="H605" s="28">
        <v>24</v>
      </c>
      <c r="I605" s="136">
        <v>27</v>
      </c>
      <c r="J605" s="27" t="s">
        <v>2448</v>
      </c>
      <c r="K605" s="28">
        <v>740</v>
      </c>
      <c r="L605" s="28" t="s">
        <v>566</v>
      </c>
      <c r="M605" s="38" t="s">
        <v>1830</v>
      </c>
      <c r="N605" s="150" t="s">
        <v>2092</v>
      </c>
      <c r="O605" s="153" t="s">
        <v>1260</v>
      </c>
      <c r="P605" s="153" t="s">
        <v>1260</v>
      </c>
    </row>
    <row r="606" spans="3:16" ht="15.75" thickBot="1">
      <c r="C606" s="2"/>
      <c r="D606" s="13" t="s">
        <v>2473</v>
      </c>
      <c r="E606" s="14">
        <v>355</v>
      </c>
      <c r="F606" s="15">
        <v>480</v>
      </c>
      <c r="G606" s="14">
        <v>5480</v>
      </c>
      <c r="H606" s="28">
        <v>17</v>
      </c>
      <c r="I606" s="136">
        <v>19</v>
      </c>
      <c r="J606" s="27" t="s">
        <v>2448</v>
      </c>
      <c r="K606" s="28">
        <v>740</v>
      </c>
      <c r="L606" s="28" t="s">
        <v>566</v>
      </c>
      <c r="M606" s="38" t="s">
        <v>1830</v>
      </c>
      <c r="N606" s="150" t="s">
        <v>2092</v>
      </c>
      <c r="O606" s="153" t="s">
        <v>1260</v>
      </c>
      <c r="P606" s="153" t="s">
        <v>1260</v>
      </c>
    </row>
    <row r="607" spans="3:16" ht="15.75" thickBot="1">
      <c r="C607" s="2"/>
      <c r="D607" s="13" t="s">
        <v>2474</v>
      </c>
      <c r="E607" s="14">
        <v>630</v>
      </c>
      <c r="F607" s="15">
        <v>850</v>
      </c>
      <c r="G607" s="14">
        <v>5500</v>
      </c>
      <c r="H607" s="28">
        <v>32</v>
      </c>
      <c r="I607" s="136">
        <v>37</v>
      </c>
      <c r="J607" s="27" t="s">
        <v>2448</v>
      </c>
      <c r="K607" s="28">
        <v>740</v>
      </c>
      <c r="L607" s="28" t="s">
        <v>566</v>
      </c>
      <c r="M607" s="38" t="s">
        <v>1830</v>
      </c>
      <c r="N607" s="150" t="s">
        <v>2092</v>
      </c>
      <c r="O607" s="153" t="s">
        <v>1260</v>
      </c>
      <c r="P607" s="153" t="s">
        <v>1260</v>
      </c>
    </row>
    <row r="608" spans="3:16" ht="15.75" thickBot="1">
      <c r="C608" s="2"/>
      <c r="D608" s="13" t="s">
        <v>2475</v>
      </c>
      <c r="E608" s="14">
        <v>560</v>
      </c>
      <c r="F608" s="15">
        <v>750</v>
      </c>
      <c r="G608" s="14">
        <v>5170</v>
      </c>
      <c r="H608" s="28">
        <v>28</v>
      </c>
      <c r="I608" s="136">
        <v>33</v>
      </c>
      <c r="J608" s="27" t="s">
        <v>2448</v>
      </c>
      <c r="K608" s="28">
        <v>740</v>
      </c>
      <c r="L608" s="28" t="s">
        <v>566</v>
      </c>
      <c r="M608" s="38" t="s">
        <v>1830</v>
      </c>
      <c r="N608" s="150" t="s">
        <v>2092</v>
      </c>
      <c r="O608" s="153" t="s">
        <v>1260</v>
      </c>
      <c r="P608" s="153" t="s">
        <v>1260</v>
      </c>
    </row>
    <row r="609" spans="3:16" ht="15.75" thickBot="1">
      <c r="C609" s="2"/>
      <c r="D609" s="13" t="s">
        <v>2476</v>
      </c>
      <c r="E609" s="14">
        <v>400</v>
      </c>
      <c r="F609" s="15">
        <v>540</v>
      </c>
      <c r="G609" s="14">
        <v>4906</v>
      </c>
      <c r="H609" s="28">
        <v>22</v>
      </c>
      <c r="I609" s="136">
        <v>26</v>
      </c>
      <c r="J609" s="27" t="s">
        <v>2448</v>
      </c>
      <c r="K609" s="28">
        <v>740</v>
      </c>
      <c r="L609" s="28" t="s">
        <v>566</v>
      </c>
      <c r="M609" s="38" t="s">
        <v>1830</v>
      </c>
      <c r="N609" s="150" t="s">
        <v>2092</v>
      </c>
      <c r="O609" s="153" t="s">
        <v>1260</v>
      </c>
      <c r="P609" s="153" t="s">
        <v>1260</v>
      </c>
    </row>
    <row r="610" spans="3:16" ht="15.75" thickBot="1">
      <c r="C610" s="2"/>
      <c r="D610" s="13" t="s">
        <v>2477</v>
      </c>
      <c r="E610" s="14">
        <v>280</v>
      </c>
      <c r="F610" s="15">
        <v>380</v>
      </c>
      <c r="G610" s="14">
        <v>4637</v>
      </c>
      <c r="H610" s="28">
        <v>16</v>
      </c>
      <c r="I610" s="136">
        <v>18</v>
      </c>
      <c r="J610" s="27" t="s">
        <v>2448</v>
      </c>
      <c r="K610" s="28">
        <v>740</v>
      </c>
      <c r="L610" s="28" t="s">
        <v>566</v>
      </c>
      <c r="M610" s="38" t="s">
        <v>1830</v>
      </c>
      <c r="N610" s="150" t="s">
        <v>1831</v>
      </c>
      <c r="O610" s="153" t="s">
        <v>1260</v>
      </c>
      <c r="P610" s="153" t="s">
        <v>1260</v>
      </c>
    </row>
    <row r="611" spans="3:16" ht="15.75" thickBot="1">
      <c r="C611" s="2"/>
      <c r="D611" s="13" t="s">
        <v>2478</v>
      </c>
      <c r="E611" s="14">
        <v>1400</v>
      </c>
      <c r="F611" s="15">
        <v>1880</v>
      </c>
      <c r="G611" s="14">
        <v>9000</v>
      </c>
      <c r="H611" s="28">
        <v>44</v>
      </c>
      <c r="I611" s="136">
        <v>50</v>
      </c>
      <c r="J611" s="27" t="s">
        <v>2479</v>
      </c>
      <c r="K611" s="28">
        <v>740</v>
      </c>
      <c r="L611" s="28" t="s">
        <v>566</v>
      </c>
      <c r="M611" s="38" t="s">
        <v>1830</v>
      </c>
      <c r="N611" s="150" t="s">
        <v>2092</v>
      </c>
      <c r="O611" s="153" t="s">
        <v>1260</v>
      </c>
      <c r="P611" s="153" t="s">
        <v>1260</v>
      </c>
    </row>
    <row r="612" spans="3:16" ht="15.75" thickBot="1">
      <c r="C612" s="2"/>
      <c r="D612" s="13" t="s">
        <v>2480</v>
      </c>
      <c r="E612" s="14">
        <v>1250</v>
      </c>
      <c r="F612" s="15">
        <v>1680</v>
      </c>
      <c r="G612" s="14">
        <v>8640</v>
      </c>
      <c r="H612" s="28">
        <v>41</v>
      </c>
      <c r="I612" s="136">
        <v>46</v>
      </c>
      <c r="J612" s="27" t="s">
        <v>2479</v>
      </c>
      <c r="K612" s="28">
        <v>740</v>
      </c>
      <c r="L612" s="28" t="s">
        <v>566</v>
      </c>
      <c r="M612" s="38" t="s">
        <v>1830</v>
      </c>
      <c r="N612" s="150" t="s">
        <v>2092</v>
      </c>
      <c r="O612" s="153" t="s">
        <v>1260</v>
      </c>
      <c r="P612" s="153" t="s">
        <v>1260</v>
      </c>
    </row>
    <row r="613" spans="3:16" ht="15.75" thickBot="1">
      <c r="C613" s="2"/>
      <c r="D613" s="13" t="s">
        <v>2481</v>
      </c>
      <c r="E613" s="14">
        <v>1120</v>
      </c>
      <c r="F613" s="15">
        <v>1500</v>
      </c>
      <c r="G613" s="14">
        <v>8280</v>
      </c>
      <c r="H613" s="28">
        <v>37</v>
      </c>
      <c r="I613" s="136">
        <v>42</v>
      </c>
      <c r="J613" s="27" t="s">
        <v>2479</v>
      </c>
      <c r="K613" s="28">
        <v>740</v>
      </c>
      <c r="L613" s="28" t="s">
        <v>566</v>
      </c>
      <c r="M613" s="38" t="s">
        <v>1830</v>
      </c>
      <c r="N613" s="150" t="s">
        <v>2092</v>
      </c>
      <c r="O613" s="153" t="s">
        <v>1260</v>
      </c>
      <c r="P613" s="153" t="s">
        <v>1260</v>
      </c>
    </row>
    <row r="614" spans="3:16" ht="15.75" thickBot="1">
      <c r="C614" s="2"/>
      <c r="D614" s="13" t="s">
        <v>2482</v>
      </c>
      <c r="E614" s="14">
        <v>1000</v>
      </c>
      <c r="F614" s="15">
        <v>1350</v>
      </c>
      <c r="G614" s="14">
        <v>7920</v>
      </c>
      <c r="H614" s="28">
        <v>34</v>
      </c>
      <c r="I614" s="136">
        <v>39</v>
      </c>
      <c r="J614" s="27" t="s">
        <v>2479</v>
      </c>
      <c r="K614" s="28">
        <v>740</v>
      </c>
      <c r="L614" s="28" t="s">
        <v>566</v>
      </c>
      <c r="M614" s="38" t="s">
        <v>1830</v>
      </c>
      <c r="N614" s="150" t="s">
        <v>2092</v>
      </c>
      <c r="O614" s="153" t="s">
        <v>1260</v>
      </c>
      <c r="P614" s="153" t="s">
        <v>1260</v>
      </c>
    </row>
    <row r="615" spans="3:16" ht="15.75" thickBot="1">
      <c r="C615" s="2"/>
      <c r="D615" s="13" t="s">
        <v>2483</v>
      </c>
      <c r="E615" s="14">
        <v>1120</v>
      </c>
      <c r="F615" s="15">
        <v>1500</v>
      </c>
      <c r="G615" s="14">
        <v>7600</v>
      </c>
      <c r="H615" s="28">
        <v>40</v>
      </c>
      <c r="I615" s="136">
        <v>44</v>
      </c>
      <c r="J615" s="27" t="s">
        <v>2479</v>
      </c>
      <c r="K615" s="28">
        <v>740</v>
      </c>
      <c r="L615" s="28" t="s">
        <v>566</v>
      </c>
      <c r="M615" s="38" t="s">
        <v>1830</v>
      </c>
      <c r="N615" s="150" t="s">
        <v>2092</v>
      </c>
      <c r="O615" s="153" t="s">
        <v>1260</v>
      </c>
      <c r="P615" s="153" t="s">
        <v>1260</v>
      </c>
    </row>
    <row r="616" spans="3:16" ht="15.75" thickBot="1">
      <c r="C616" s="2"/>
      <c r="D616" s="13" t="s">
        <v>2484</v>
      </c>
      <c r="E616" s="14">
        <v>900</v>
      </c>
      <c r="F616" s="15">
        <v>1200</v>
      </c>
      <c r="G616" s="14">
        <v>7220</v>
      </c>
      <c r="H616" s="28">
        <v>36</v>
      </c>
      <c r="I616" s="136">
        <v>40</v>
      </c>
      <c r="J616" s="27" t="s">
        <v>2479</v>
      </c>
      <c r="K616" s="28">
        <v>740</v>
      </c>
      <c r="L616" s="28" t="s">
        <v>566</v>
      </c>
      <c r="M616" s="38" t="s">
        <v>1830</v>
      </c>
      <c r="N616" s="150" t="s">
        <v>2092</v>
      </c>
      <c r="O616" s="153" t="s">
        <v>1260</v>
      </c>
      <c r="P616" s="153" t="s">
        <v>1260</v>
      </c>
    </row>
    <row r="617" spans="3:16" ht="15.75" thickBot="1">
      <c r="C617" s="2"/>
      <c r="D617" s="13" t="s">
        <v>2485</v>
      </c>
      <c r="E617" s="14">
        <v>800</v>
      </c>
      <c r="F617" s="15">
        <v>1080</v>
      </c>
      <c r="G617" s="14">
        <v>6916</v>
      </c>
      <c r="H617" s="28">
        <v>33</v>
      </c>
      <c r="I617" s="136">
        <v>36</v>
      </c>
      <c r="J617" s="27" t="s">
        <v>2479</v>
      </c>
      <c r="K617" s="28">
        <v>740</v>
      </c>
      <c r="L617" s="28" t="s">
        <v>566</v>
      </c>
      <c r="M617" s="38" t="s">
        <v>1830</v>
      </c>
      <c r="N617" s="150" t="s">
        <v>2092</v>
      </c>
      <c r="O617" s="153" t="s">
        <v>1260</v>
      </c>
      <c r="P617" s="153" t="s">
        <v>1260</v>
      </c>
    </row>
    <row r="618" spans="3:16" ht="15.75" thickBot="1">
      <c r="C618" s="2"/>
      <c r="D618" s="13" t="s">
        <v>2486</v>
      </c>
      <c r="E618" s="14">
        <v>710</v>
      </c>
      <c r="F618" s="15">
        <v>950</v>
      </c>
      <c r="G618" s="14">
        <v>6612</v>
      </c>
      <c r="H618" s="28">
        <v>30</v>
      </c>
      <c r="I618" s="136">
        <v>33</v>
      </c>
      <c r="J618" s="27" t="s">
        <v>2479</v>
      </c>
      <c r="K618" s="28">
        <v>740</v>
      </c>
      <c r="L618" s="28" t="s">
        <v>566</v>
      </c>
      <c r="M618" s="38" t="s">
        <v>1830</v>
      </c>
      <c r="N618" s="150" t="s">
        <v>2092</v>
      </c>
      <c r="O618" s="153" t="s">
        <v>1260</v>
      </c>
      <c r="P618" s="153" t="s">
        <v>1260</v>
      </c>
    </row>
    <row r="619" spans="3:16" ht="15.75" thickBot="1">
      <c r="C619" s="2"/>
      <c r="D619" s="13" t="s">
        <v>2487</v>
      </c>
      <c r="E619" s="14">
        <v>1250</v>
      </c>
      <c r="F619" s="15">
        <v>1680</v>
      </c>
      <c r="G619" s="14">
        <v>6500</v>
      </c>
      <c r="H619" s="28">
        <v>53</v>
      </c>
      <c r="I619" s="136">
        <v>61</v>
      </c>
      <c r="J619" s="27" t="s">
        <v>2448</v>
      </c>
      <c r="K619" s="28">
        <v>740</v>
      </c>
      <c r="L619" s="28" t="s">
        <v>566</v>
      </c>
      <c r="M619" s="38" t="s">
        <v>1830</v>
      </c>
      <c r="N619" s="150" t="s">
        <v>2092</v>
      </c>
      <c r="O619" s="153" t="s">
        <v>1260</v>
      </c>
      <c r="P619" s="153" t="s">
        <v>1260</v>
      </c>
    </row>
    <row r="620" spans="3:16" ht="15.75" thickBot="1">
      <c r="C620" s="2"/>
      <c r="D620" s="13" t="s">
        <v>2488</v>
      </c>
      <c r="E620" s="14">
        <v>1120</v>
      </c>
      <c r="F620" s="15">
        <v>1500</v>
      </c>
      <c r="G620" s="14">
        <v>6110</v>
      </c>
      <c r="H620" s="28">
        <v>47</v>
      </c>
      <c r="I620" s="136">
        <v>54</v>
      </c>
      <c r="J620" s="27" t="s">
        <v>2448</v>
      </c>
      <c r="K620" s="28">
        <v>740</v>
      </c>
      <c r="L620" s="28" t="s">
        <v>566</v>
      </c>
      <c r="M620" s="38" t="s">
        <v>1830</v>
      </c>
      <c r="N620" s="150" t="s">
        <v>2092</v>
      </c>
      <c r="O620" s="153" t="s">
        <v>1260</v>
      </c>
      <c r="P620" s="153" t="s">
        <v>1260</v>
      </c>
    </row>
    <row r="621" spans="3:16" ht="15.75" thickBot="1">
      <c r="C621" s="2"/>
      <c r="D621" s="13" t="s">
        <v>2489</v>
      </c>
      <c r="E621" s="14">
        <v>800</v>
      </c>
      <c r="F621" s="15">
        <v>1080</v>
      </c>
      <c r="G621" s="14">
        <v>5720</v>
      </c>
      <c r="H621" s="28">
        <v>36</v>
      </c>
      <c r="I621" s="136">
        <v>42</v>
      </c>
      <c r="J621" s="27" t="s">
        <v>2448</v>
      </c>
      <c r="K621" s="28">
        <v>740</v>
      </c>
      <c r="L621" s="28" t="s">
        <v>566</v>
      </c>
      <c r="M621" s="38" t="s">
        <v>1830</v>
      </c>
      <c r="N621" s="150" t="s">
        <v>2092</v>
      </c>
      <c r="O621" s="153" t="s">
        <v>1260</v>
      </c>
      <c r="P621" s="153" t="s">
        <v>1260</v>
      </c>
    </row>
    <row r="622" spans="3:16" ht="15.75" thickBot="1">
      <c r="C622" s="2"/>
      <c r="D622" s="13" t="s">
        <v>2490</v>
      </c>
      <c r="E622" s="14">
        <v>500</v>
      </c>
      <c r="F622" s="15">
        <v>670</v>
      </c>
      <c r="G622" s="14">
        <v>5324</v>
      </c>
      <c r="H622" s="28">
        <v>24</v>
      </c>
      <c r="I622" s="136">
        <v>28</v>
      </c>
      <c r="J622" s="27" t="s">
        <v>2448</v>
      </c>
      <c r="K622" s="28">
        <v>740</v>
      </c>
      <c r="L622" s="28" t="s">
        <v>566</v>
      </c>
      <c r="M622" s="38" t="s">
        <v>1830</v>
      </c>
      <c r="N622" s="150" t="s">
        <v>2092</v>
      </c>
      <c r="O622" s="153" t="s">
        <v>1260</v>
      </c>
      <c r="P622" s="153" t="s">
        <v>1260</v>
      </c>
    </row>
    <row r="623" spans="3:16" ht="15.75" thickBot="1">
      <c r="C623" s="2"/>
      <c r="D623" s="13" t="s">
        <v>2491</v>
      </c>
      <c r="E623" s="14">
        <v>900</v>
      </c>
      <c r="F623" s="15">
        <v>1200</v>
      </c>
      <c r="G623" s="14">
        <v>5500</v>
      </c>
      <c r="H623" s="28">
        <v>48</v>
      </c>
      <c r="I623" s="136">
        <v>55</v>
      </c>
      <c r="J623" s="27" t="s">
        <v>2448</v>
      </c>
      <c r="K623" s="28">
        <v>740</v>
      </c>
      <c r="L623" s="28" t="s">
        <v>566</v>
      </c>
      <c r="M623" s="38" t="s">
        <v>1830</v>
      </c>
      <c r="N623" s="150" t="s">
        <v>2092</v>
      </c>
      <c r="O623" s="153" t="s">
        <v>1260</v>
      </c>
      <c r="P623" s="153" t="s">
        <v>1260</v>
      </c>
    </row>
    <row r="624" spans="3:16" ht="15.75" thickBot="1">
      <c r="C624" s="2"/>
      <c r="D624" s="13" t="s">
        <v>2492</v>
      </c>
      <c r="E624" s="14">
        <v>800</v>
      </c>
      <c r="F624" s="15">
        <v>1080</v>
      </c>
      <c r="G624" s="14">
        <v>5170</v>
      </c>
      <c r="H624" s="28">
        <v>42</v>
      </c>
      <c r="I624" s="136">
        <v>49</v>
      </c>
      <c r="J624" s="27" t="s">
        <v>2448</v>
      </c>
      <c r="K624" s="28">
        <v>740</v>
      </c>
      <c r="L624" s="28" t="s">
        <v>566</v>
      </c>
      <c r="M624" s="38" t="s">
        <v>1830</v>
      </c>
      <c r="N624" s="150" t="s">
        <v>2092</v>
      </c>
      <c r="O624" s="153" t="s">
        <v>1260</v>
      </c>
      <c r="P624" s="153" t="s">
        <v>1260</v>
      </c>
    </row>
    <row r="625" spans="3:16" ht="15.75" thickBot="1">
      <c r="C625" s="2"/>
      <c r="D625" s="13" t="s">
        <v>2493</v>
      </c>
      <c r="E625" s="14">
        <v>630</v>
      </c>
      <c r="F625" s="15">
        <v>850</v>
      </c>
      <c r="G625" s="14">
        <v>4840</v>
      </c>
      <c r="H625" s="28">
        <v>33</v>
      </c>
      <c r="I625" s="136">
        <v>38</v>
      </c>
      <c r="J625" s="27" t="s">
        <v>2448</v>
      </c>
      <c r="K625" s="28">
        <v>740</v>
      </c>
      <c r="L625" s="28" t="s">
        <v>566</v>
      </c>
      <c r="M625" s="38" t="s">
        <v>1830</v>
      </c>
      <c r="N625" s="150" t="s">
        <v>2092</v>
      </c>
      <c r="O625" s="153" t="s">
        <v>1260</v>
      </c>
      <c r="P625" s="153" t="s">
        <v>1260</v>
      </c>
    </row>
    <row r="626" spans="3:16" ht="15.75" thickBot="1">
      <c r="C626" s="2"/>
      <c r="D626" s="13" t="s">
        <v>2494</v>
      </c>
      <c r="E626" s="14">
        <v>400</v>
      </c>
      <c r="F626" s="15">
        <v>540</v>
      </c>
      <c r="G626" s="14">
        <v>4505</v>
      </c>
      <c r="H626" s="28">
        <v>22</v>
      </c>
      <c r="I626" s="136">
        <v>25</v>
      </c>
      <c r="J626" s="27" t="s">
        <v>2448</v>
      </c>
      <c r="K626" s="28">
        <v>740</v>
      </c>
      <c r="L626" s="28" t="s">
        <v>566</v>
      </c>
      <c r="M626" s="38" t="s">
        <v>1830</v>
      </c>
      <c r="N626" s="150" t="s">
        <v>2092</v>
      </c>
      <c r="O626" s="153" t="s">
        <v>1260</v>
      </c>
      <c r="P626" s="153" t="s">
        <v>1260</v>
      </c>
    </row>
    <row r="627" spans="3:16" ht="15.75" thickBot="1">
      <c r="C627" s="2"/>
      <c r="D627" s="13" t="s">
        <v>2495</v>
      </c>
      <c r="E627" s="14">
        <v>2240</v>
      </c>
      <c r="F627" s="15">
        <v>3000</v>
      </c>
      <c r="G627" s="14">
        <v>9000</v>
      </c>
      <c r="H627" s="28">
        <v>66</v>
      </c>
      <c r="I627" s="136">
        <v>74</v>
      </c>
      <c r="J627" s="27" t="s">
        <v>2479</v>
      </c>
      <c r="K627" s="28">
        <v>740</v>
      </c>
      <c r="L627" s="28" t="s">
        <v>566</v>
      </c>
      <c r="M627" s="38" t="s">
        <v>1830</v>
      </c>
      <c r="N627" s="150" t="s">
        <v>2092</v>
      </c>
      <c r="O627" s="153" t="s">
        <v>1260</v>
      </c>
      <c r="P627" s="153" t="s">
        <v>1260</v>
      </c>
    </row>
    <row r="628" spans="3:16" ht="15.75" thickBot="1">
      <c r="C628" s="2"/>
      <c r="D628" s="13" t="s">
        <v>2496</v>
      </c>
      <c r="E628" s="14">
        <v>1800</v>
      </c>
      <c r="F628" s="15">
        <v>2420</v>
      </c>
      <c r="G628" s="14">
        <v>8460</v>
      </c>
      <c r="H628" s="28">
        <v>58</v>
      </c>
      <c r="I628" s="136">
        <v>65</v>
      </c>
      <c r="J628" s="27" t="s">
        <v>2479</v>
      </c>
      <c r="K628" s="28">
        <v>740</v>
      </c>
      <c r="L628" s="28" t="s">
        <v>566</v>
      </c>
      <c r="M628" s="38" t="s">
        <v>1830</v>
      </c>
      <c r="N628" s="150" t="s">
        <v>2092</v>
      </c>
      <c r="O628" s="153" t="s">
        <v>1260</v>
      </c>
      <c r="P628" s="153" t="s">
        <v>1260</v>
      </c>
    </row>
    <row r="629" spans="3:16" ht="15.75" thickBot="1">
      <c r="C629" s="2"/>
      <c r="D629" s="13" t="s">
        <v>2497</v>
      </c>
      <c r="E629" s="14">
        <v>1400</v>
      </c>
      <c r="F629" s="15">
        <v>1880</v>
      </c>
      <c r="G629" s="14">
        <v>7920</v>
      </c>
      <c r="H629" s="28">
        <v>45</v>
      </c>
      <c r="I629" s="136">
        <v>51</v>
      </c>
      <c r="J629" s="27" t="s">
        <v>2479</v>
      </c>
      <c r="K629" s="28">
        <v>740</v>
      </c>
      <c r="L629" s="28" t="s">
        <v>566</v>
      </c>
      <c r="M629" s="38" t="s">
        <v>1830</v>
      </c>
      <c r="N629" s="150" t="s">
        <v>2092</v>
      </c>
      <c r="O629" s="153" t="s">
        <v>1260</v>
      </c>
      <c r="P629" s="153" t="s">
        <v>1260</v>
      </c>
    </row>
    <row r="630" spans="3:16" ht="15.75" thickBot="1">
      <c r="C630" s="2"/>
      <c r="D630" s="13" t="s">
        <v>2498</v>
      </c>
      <c r="E630" s="14">
        <v>900</v>
      </c>
      <c r="F630" s="15">
        <v>1200</v>
      </c>
      <c r="G630" s="14">
        <v>7371</v>
      </c>
      <c r="H630" s="28">
        <v>30</v>
      </c>
      <c r="I630" s="136">
        <v>34</v>
      </c>
      <c r="J630" s="27" t="s">
        <v>2479</v>
      </c>
      <c r="K630" s="28">
        <v>740</v>
      </c>
      <c r="L630" s="28" t="s">
        <v>566</v>
      </c>
      <c r="M630" s="38" t="s">
        <v>1830</v>
      </c>
      <c r="N630" s="150" t="s">
        <v>2092</v>
      </c>
      <c r="O630" s="153" t="s">
        <v>1260</v>
      </c>
      <c r="P630" s="153" t="s">
        <v>1260</v>
      </c>
    </row>
    <row r="631" spans="3:16" ht="15.75" thickBot="1">
      <c r="C631" s="2"/>
      <c r="D631" s="13" t="s">
        <v>2499</v>
      </c>
      <c r="E631" s="14">
        <v>1600</v>
      </c>
      <c r="F631" s="15">
        <v>2150</v>
      </c>
      <c r="G631" s="14">
        <v>7600</v>
      </c>
      <c r="H631" s="28">
        <v>59</v>
      </c>
      <c r="I631" s="136">
        <v>66</v>
      </c>
      <c r="J631" s="27" t="s">
        <v>2479</v>
      </c>
      <c r="K631" s="28">
        <v>740</v>
      </c>
      <c r="L631" s="28" t="s">
        <v>566</v>
      </c>
      <c r="M631" s="38" t="s">
        <v>1830</v>
      </c>
      <c r="N631" s="150" t="s">
        <v>2092</v>
      </c>
      <c r="O631" s="153" t="s">
        <v>1260</v>
      </c>
      <c r="P631" s="153" t="s">
        <v>1260</v>
      </c>
    </row>
    <row r="632" spans="3:16" ht="15.75" thickBot="1">
      <c r="C632" s="2"/>
      <c r="D632" s="13" t="s">
        <v>2500</v>
      </c>
      <c r="E632" s="14">
        <v>1400</v>
      </c>
      <c r="F632" s="15">
        <v>1880</v>
      </c>
      <c r="G632" s="14">
        <v>7144</v>
      </c>
      <c r="H632" s="28">
        <v>52</v>
      </c>
      <c r="I632" s="136">
        <v>58</v>
      </c>
      <c r="J632" s="27" t="s">
        <v>2479</v>
      </c>
      <c r="K632" s="28">
        <v>740</v>
      </c>
      <c r="L632" s="28" t="s">
        <v>566</v>
      </c>
      <c r="M632" s="38" t="s">
        <v>1830</v>
      </c>
      <c r="N632" s="150" t="s">
        <v>2092</v>
      </c>
      <c r="O632" s="153" t="s">
        <v>1260</v>
      </c>
      <c r="P632" s="153" t="s">
        <v>1260</v>
      </c>
    </row>
    <row r="633" spans="3:16" ht="15.75" thickBot="1">
      <c r="C633" s="2"/>
      <c r="D633" s="13" t="s">
        <v>2501</v>
      </c>
      <c r="E633" s="14">
        <v>1000</v>
      </c>
      <c r="F633" s="15">
        <v>1350</v>
      </c>
      <c r="G633" s="14">
        <v>6688</v>
      </c>
      <c r="H633" s="28">
        <v>40</v>
      </c>
      <c r="I633" s="136">
        <v>45</v>
      </c>
      <c r="J633" s="27" t="s">
        <v>2479</v>
      </c>
      <c r="K633" s="28">
        <v>740</v>
      </c>
      <c r="L633" s="28" t="s">
        <v>566</v>
      </c>
      <c r="M633" s="38" t="s">
        <v>1830</v>
      </c>
      <c r="N633" s="150" t="s">
        <v>2092</v>
      </c>
      <c r="O633" s="153" t="s">
        <v>1260</v>
      </c>
      <c r="P633" s="153" t="s">
        <v>1260</v>
      </c>
    </row>
    <row r="634" spans="3:16" ht="15.75" thickBot="1">
      <c r="C634" s="2"/>
      <c r="D634" s="13" t="s">
        <v>2502</v>
      </c>
      <c r="E634" s="14">
        <v>630</v>
      </c>
      <c r="F634" s="15">
        <v>850</v>
      </c>
      <c r="G634" s="14">
        <v>6224</v>
      </c>
      <c r="H634" s="28">
        <v>27</v>
      </c>
      <c r="I634" s="136">
        <v>30</v>
      </c>
      <c r="J634" s="27" t="s">
        <v>2479</v>
      </c>
      <c r="K634" s="28">
        <v>740</v>
      </c>
      <c r="L634" s="28" t="s">
        <v>566</v>
      </c>
      <c r="M634" s="38" t="s">
        <v>1830</v>
      </c>
      <c r="N634" s="150" t="s">
        <v>2092</v>
      </c>
      <c r="O634" s="153" t="s">
        <v>1260</v>
      </c>
      <c r="P634" s="153" t="s">
        <v>1260</v>
      </c>
    </row>
    <row r="635" spans="3:16" ht="15.75" thickBot="1">
      <c r="C635" s="2"/>
      <c r="D635" s="13" t="s">
        <v>2503</v>
      </c>
      <c r="E635" s="14">
        <v>710</v>
      </c>
      <c r="F635" s="15">
        <v>950</v>
      </c>
      <c r="G635" s="14">
        <v>6500</v>
      </c>
      <c r="H635" s="28">
        <v>30</v>
      </c>
      <c r="I635" s="136">
        <v>38</v>
      </c>
      <c r="J635" s="27" t="s">
        <v>2504</v>
      </c>
      <c r="K635" s="28">
        <v>980</v>
      </c>
      <c r="L635" s="28" t="s">
        <v>566</v>
      </c>
      <c r="M635" s="38" t="s">
        <v>1830</v>
      </c>
      <c r="N635" s="150" t="s">
        <v>2092</v>
      </c>
      <c r="O635" s="153" t="s">
        <v>1260</v>
      </c>
      <c r="P635" s="153" t="s">
        <v>1260</v>
      </c>
    </row>
    <row r="636" spans="3:16" ht="15.75" thickBot="1">
      <c r="C636" s="2"/>
      <c r="D636" s="13" t="s">
        <v>2505</v>
      </c>
      <c r="E636" s="14">
        <v>630</v>
      </c>
      <c r="F636" s="15">
        <v>850</v>
      </c>
      <c r="G636" s="14">
        <v>6110</v>
      </c>
      <c r="H636" s="28">
        <v>27</v>
      </c>
      <c r="I636" s="136">
        <v>34</v>
      </c>
      <c r="J636" s="27" t="s">
        <v>2504</v>
      </c>
      <c r="K636" s="28">
        <v>980</v>
      </c>
      <c r="L636" s="28" t="s">
        <v>566</v>
      </c>
      <c r="M636" s="38" t="s">
        <v>1830</v>
      </c>
      <c r="N636" s="150" t="s">
        <v>2092</v>
      </c>
      <c r="O636" s="153" t="s">
        <v>1260</v>
      </c>
      <c r="P636" s="153" t="s">
        <v>1260</v>
      </c>
    </row>
    <row r="637" spans="3:16" ht="15.75" thickBot="1">
      <c r="C637" s="2"/>
      <c r="D637" s="13" t="s">
        <v>2506</v>
      </c>
      <c r="E637" s="14">
        <v>450</v>
      </c>
      <c r="F637" s="15">
        <v>600</v>
      </c>
      <c r="G637" s="14">
        <v>5798</v>
      </c>
      <c r="H637" s="28">
        <v>21</v>
      </c>
      <c r="I637" s="136">
        <v>27</v>
      </c>
      <c r="J637" s="27" t="s">
        <v>2504</v>
      </c>
      <c r="K637" s="28">
        <v>980</v>
      </c>
      <c r="L637" s="28" t="s">
        <v>566</v>
      </c>
      <c r="M637" s="38" t="s">
        <v>1830</v>
      </c>
      <c r="N637" s="150" t="s">
        <v>2092</v>
      </c>
      <c r="O637" s="153" t="s">
        <v>1260</v>
      </c>
      <c r="P637" s="153" t="s">
        <v>1260</v>
      </c>
    </row>
    <row r="638" spans="3:16" ht="15.75" thickBot="1">
      <c r="C638" s="2"/>
      <c r="D638" s="13" t="s">
        <v>2507</v>
      </c>
      <c r="E638" s="14">
        <v>500</v>
      </c>
      <c r="F638" s="15">
        <v>670</v>
      </c>
      <c r="G638" s="14">
        <v>5500</v>
      </c>
      <c r="H638" s="28">
        <v>26</v>
      </c>
      <c r="I638" s="136">
        <v>33</v>
      </c>
      <c r="J638" s="27" t="s">
        <v>2504</v>
      </c>
      <c r="K638" s="28">
        <v>980</v>
      </c>
      <c r="L638" s="28" t="s">
        <v>566</v>
      </c>
      <c r="M638" s="38" t="s">
        <v>1830</v>
      </c>
      <c r="N638" s="150" t="s">
        <v>2092</v>
      </c>
      <c r="O638" s="153" t="s">
        <v>1260</v>
      </c>
      <c r="P638" s="153" t="s">
        <v>1260</v>
      </c>
    </row>
    <row r="639" spans="3:16" ht="15.75" thickBot="1">
      <c r="C639" s="2"/>
      <c r="D639" s="13" t="s">
        <v>2508</v>
      </c>
      <c r="E639" s="14">
        <v>450</v>
      </c>
      <c r="F639" s="15">
        <v>600</v>
      </c>
      <c r="G639" s="14">
        <v>5170</v>
      </c>
      <c r="H639" s="28">
        <v>23</v>
      </c>
      <c r="I639" s="136">
        <v>29</v>
      </c>
      <c r="J639" s="27" t="s">
        <v>2504</v>
      </c>
      <c r="K639" s="28">
        <v>980</v>
      </c>
      <c r="L639" s="28" t="s">
        <v>566</v>
      </c>
      <c r="M639" s="38" t="s">
        <v>1830</v>
      </c>
      <c r="N639" s="150" t="s">
        <v>2092</v>
      </c>
      <c r="O639" s="153" t="s">
        <v>1260</v>
      </c>
      <c r="P639" s="153" t="s">
        <v>1260</v>
      </c>
    </row>
    <row r="640" spans="3:16" ht="15.75" thickBot="1">
      <c r="C640" s="2"/>
      <c r="D640" s="13" t="s">
        <v>2509</v>
      </c>
      <c r="E640" s="14">
        <v>355</v>
      </c>
      <c r="F640" s="15">
        <v>480</v>
      </c>
      <c r="G640" s="14">
        <v>4906</v>
      </c>
      <c r="H640" s="28">
        <v>18</v>
      </c>
      <c r="I640" s="136">
        <v>23</v>
      </c>
      <c r="J640" s="27" t="s">
        <v>2504</v>
      </c>
      <c r="K640" s="28">
        <v>980</v>
      </c>
      <c r="L640" s="28" t="s">
        <v>566</v>
      </c>
      <c r="M640" s="38" t="s">
        <v>1830</v>
      </c>
      <c r="N640" s="150" t="s">
        <v>2092</v>
      </c>
      <c r="O640" s="153" t="s">
        <v>1260</v>
      </c>
      <c r="P640" s="153" t="s">
        <v>1260</v>
      </c>
    </row>
    <row r="641" spans="3:16" ht="15.75" thickBot="1">
      <c r="C641" s="2"/>
      <c r="D641" s="13" t="s">
        <v>2510</v>
      </c>
      <c r="E641" s="14">
        <v>560</v>
      </c>
      <c r="F641" s="15">
        <v>750</v>
      </c>
      <c r="G641" s="14">
        <v>6500</v>
      </c>
      <c r="H641" s="28">
        <v>23</v>
      </c>
      <c r="I641" s="136">
        <v>28</v>
      </c>
      <c r="J641" s="27" t="s">
        <v>2504</v>
      </c>
      <c r="K641" s="28">
        <v>980</v>
      </c>
      <c r="L641" s="28" t="s">
        <v>566</v>
      </c>
      <c r="M641" s="38" t="s">
        <v>1830</v>
      </c>
      <c r="N641" s="150" t="s">
        <v>2092</v>
      </c>
      <c r="O641" s="153" t="s">
        <v>1260</v>
      </c>
      <c r="P641" s="153" t="s">
        <v>1260</v>
      </c>
    </row>
    <row r="642" spans="3:16" ht="15.75" thickBot="1">
      <c r="C642" s="2"/>
      <c r="D642" s="13" t="s">
        <v>2511</v>
      </c>
      <c r="E642" s="14">
        <v>500</v>
      </c>
      <c r="F642" s="15">
        <v>670</v>
      </c>
      <c r="G642" s="14">
        <v>6240</v>
      </c>
      <c r="H642" s="28">
        <v>21</v>
      </c>
      <c r="I642" s="136">
        <v>26</v>
      </c>
      <c r="J642" s="27" t="s">
        <v>2504</v>
      </c>
      <c r="K642" s="28">
        <v>980</v>
      </c>
      <c r="L642" s="28" t="s">
        <v>566</v>
      </c>
      <c r="M642" s="38" t="s">
        <v>1830</v>
      </c>
      <c r="N642" s="150" t="s">
        <v>2092</v>
      </c>
      <c r="O642" s="153" t="s">
        <v>1260</v>
      </c>
      <c r="P642" s="153" t="s">
        <v>1260</v>
      </c>
    </row>
    <row r="643" spans="3:16" ht="15.75" thickBot="1">
      <c r="C643" s="2"/>
      <c r="D643" s="13" t="s">
        <v>2512</v>
      </c>
      <c r="E643" s="14">
        <v>450</v>
      </c>
      <c r="F643" s="15">
        <v>600</v>
      </c>
      <c r="G643" s="14">
        <v>5500</v>
      </c>
      <c r="H643" s="28">
        <v>21</v>
      </c>
      <c r="I643" s="136">
        <v>25</v>
      </c>
      <c r="J643" s="27" t="s">
        <v>2504</v>
      </c>
      <c r="K643" s="28">
        <v>980</v>
      </c>
      <c r="L643" s="28" t="s">
        <v>566</v>
      </c>
      <c r="M643" s="38" t="s">
        <v>1830</v>
      </c>
      <c r="N643" s="150" t="s">
        <v>2092</v>
      </c>
      <c r="O643" s="153" t="s">
        <v>1260</v>
      </c>
      <c r="P643" s="153" t="s">
        <v>1260</v>
      </c>
    </row>
    <row r="644" spans="3:16" ht="15.75" thickBot="1">
      <c r="C644" s="2"/>
      <c r="D644" s="13" t="s">
        <v>2513</v>
      </c>
      <c r="E644" s="14">
        <v>400</v>
      </c>
      <c r="F644" s="15">
        <v>540</v>
      </c>
      <c r="G644" s="14">
        <v>5280</v>
      </c>
      <c r="H644" s="28">
        <v>19</v>
      </c>
      <c r="I644" s="136">
        <v>23</v>
      </c>
      <c r="J644" s="27" t="s">
        <v>2504</v>
      </c>
      <c r="K644" s="28">
        <v>980</v>
      </c>
      <c r="L644" s="28" t="s">
        <v>566</v>
      </c>
      <c r="M644" s="38" t="s">
        <v>1830</v>
      </c>
      <c r="N644" s="150" t="s">
        <v>2092</v>
      </c>
      <c r="O644" s="153" t="s">
        <v>1260</v>
      </c>
      <c r="P644" s="153" t="s">
        <v>1260</v>
      </c>
    </row>
    <row r="645" spans="3:16" ht="15.75" thickBot="1">
      <c r="C645" s="2"/>
      <c r="D645" s="13" t="s">
        <v>2514</v>
      </c>
      <c r="E645" s="14">
        <v>900</v>
      </c>
      <c r="F645" s="15">
        <v>1200</v>
      </c>
      <c r="G645" s="14">
        <v>9000</v>
      </c>
      <c r="H645" s="28">
        <v>29</v>
      </c>
      <c r="I645" s="136">
        <v>36</v>
      </c>
      <c r="J645" s="27" t="s">
        <v>2515</v>
      </c>
      <c r="K645" s="28">
        <v>740</v>
      </c>
      <c r="L645" s="28" t="s">
        <v>566</v>
      </c>
      <c r="M645" s="38" t="s">
        <v>1830</v>
      </c>
      <c r="N645" s="150" t="s">
        <v>2092</v>
      </c>
      <c r="O645" s="153" t="s">
        <v>1260</v>
      </c>
      <c r="P645" s="153" t="s">
        <v>1260</v>
      </c>
    </row>
    <row r="646" spans="3:16" ht="15.75" thickBot="1">
      <c r="C646" s="2"/>
      <c r="D646" s="13" t="s">
        <v>2516</v>
      </c>
      <c r="E646" s="14">
        <v>800</v>
      </c>
      <c r="F646" s="15">
        <v>1080</v>
      </c>
      <c r="G646" s="14">
        <v>8640</v>
      </c>
      <c r="H646" s="28">
        <v>27</v>
      </c>
      <c r="I646" s="136">
        <v>33</v>
      </c>
      <c r="J646" s="27" t="s">
        <v>2515</v>
      </c>
      <c r="K646" s="28">
        <v>740</v>
      </c>
      <c r="L646" s="28" t="s">
        <v>566</v>
      </c>
      <c r="M646" s="38" t="s">
        <v>1830</v>
      </c>
      <c r="N646" s="150" t="s">
        <v>2092</v>
      </c>
      <c r="O646" s="153" t="s">
        <v>1260</v>
      </c>
      <c r="P646" s="153" t="s">
        <v>1260</v>
      </c>
    </row>
    <row r="647" spans="3:16" ht="15.75" thickBot="1">
      <c r="C647" s="2"/>
      <c r="D647" s="13" t="s">
        <v>2517</v>
      </c>
      <c r="E647" s="14">
        <v>710</v>
      </c>
      <c r="F647" s="15">
        <v>950</v>
      </c>
      <c r="G647" s="14">
        <v>8280</v>
      </c>
      <c r="H647" s="28">
        <v>25</v>
      </c>
      <c r="I647" s="136">
        <v>30</v>
      </c>
      <c r="J647" s="27" t="s">
        <v>2515</v>
      </c>
      <c r="K647" s="28">
        <v>740</v>
      </c>
      <c r="L647" s="28" t="s">
        <v>566</v>
      </c>
      <c r="M647" s="38" t="s">
        <v>1830</v>
      </c>
      <c r="N647" s="150" t="s">
        <v>2092</v>
      </c>
      <c r="O647" s="153" t="s">
        <v>1260</v>
      </c>
      <c r="P647" s="153" t="s">
        <v>1260</v>
      </c>
    </row>
    <row r="648" spans="3:16" ht="15.75" thickBot="1">
      <c r="C648" s="2"/>
      <c r="D648" s="13" t="s">
        <v>2518</v>
      </c>
      <c r="E648" s="14">
        <v>710</v>
      </c>
      <c r="F648" s="15">
        <v>950</v>
      </c>
      <c r="G648" s="14">
        <v>7600</v>
      </c>
      <c r="H648" s="28">
        <v>27</v>
      </c>
      <c r="I648" s="136">
        <v>34</v>
      </c>
      <c r="J648" s="27" t="s">
        <v>2515</v>
      </c>
      <c r="K648" s="28">
        <v>740</v>
      </c>
      <c r="L648" s="28" t="s">
        <v>566</v>
      </c>
      <c r="M648" s="38" t="s">
        <v>1830</v>
      </c>
      <c r="N648" s="150" t="s">
        <v>2092</v>
      </c>
      <c r="O648" s="153" t="s">
        <v>1260</v>
      </c>
      <c r="P648" s="153" t="s">
        <v>1260</v>
      </c>
    </row>
    <row r="649" spans="3:16" ht="15.75" thickBot="1">
      <c r="C649" s="2"/>
      <c r="D649" s="13" t="s">
        <v>2519</v>
      </c>
      <c r="E649" s="14">
        <v>630</v>
      </c>
      <c r="F649" s="15">
        <v>850</v>
      </c>
      <c r="G649" s="14">
        <v>7296</v>
      </c>
      <c r="H649" s="28">
        <v>25</v>
      </c>
      <c r="I649" s="136">
        <v>31</v>
      </c>
      <c r="J649" s="27" t="s">
        <v>2515</v>
      </c>
      <c r="K649" s="28">
        <v>740</v>
      </c>
      <c r="L649" s="28" t="s">
        <v>566</v>
      </c>
      <c r="M649" s="38" t="s">
        <v>1830</v>
      </c>
      <c r="N649" s="150" t="s">
        <v>2092</v>
      </c>
      <c r="O649" s="153" t="s">
        <v>1260</v>
      </c>
      <c r="P649" s="153" t="s">
        <v>1260</v>
      </c>
    </row>
    <row r="650" spans="3:16" ht="15.75" thickBot="1">
      <c r="C650" s="2"/>
      <c r="D650" s="13" t="s">
        <v>2520</v>
      </c>
      <c r="E650" s="14">
        <v>560</v>
      </c>
      <c r="F650" s="15">
        <v>750</v>
      </c>
      <c r="G650" s="14">
        <v>6992</v>
      </c>
      <c r="H650" s="28">
        <v>23</v>
      </c>
      <c r="I650" s="136">
        <v>29</v>
      </c>
      <c r="J650" s="27" t="s">
        <v>2515</v>
      </c>
      <c r="K650" s="28">
        <v>740</v>
      </c>
      <c r="L650" s="28" t="s">
        <v>566</v>
      </c>
      <c r="M650" s="38" t="s">
        <v>1830</v>
      </c>
      <c r="N650" s="150" t="s">
        <v>2092</v>
      </c>
      <c r="O650" s="153" t="s">
        <v>1260</v>
      </c>
      <c r="P650" s="153" t="s">
        <v>1260</v>
      </c>
    </row>
    <row r="651" spans="3:16" ht="15.75" thickBot="1">
      <c r="C651" s="2"/>
      <c r="D651" s="13" t="s">
        <v>2521</v>
      </c>
      <c r="E651" s="14">
        <v>800</v>
      </c>
      <c r="F651" s="15">
        <v>1080</v>
      </c>
      <c r="G651" s="14">
        <v>9000</v>
      </c>
      <c r="H651" s="28">
        <v>24</v>
      </c>
      <c r="I651" s="136">
        <v>31</v>
      </c>
      <c r="J651" s="27" t="s">
        <v>2522</v>
      </c>
      <c r="K651" s="28">
        <v>740</v>
      </c>
      <c r="L651" s="28" t="s">
        <v>566</v>
      </c>
      <c r="M651" s="38" t="s">
        <v>1830</v>
      </c>
      <c r="N651" s="150" t="s">
        <v>2092</v>
      </c>
      <c r="O651" s="153" t="s">
        <v>1260</v>
      </c>
      <c r="P651" s="153" t="s">
        <v>1260</v>
      </c>
    </row>
    <row r="652" spans="3:16" ht="15.75" thickBot="1">
      <c r="C652" s="2"/>
      <c r="D652" s="13" t="s">
        <v>2523</v>
      </c>
      <c r="E652" s="14">
        <v>710</v>
      </c>
      <c r="F652" s="15">
        <v>950</v>
      </c>
      <c r="G652" s="14">
        <v>8640</v>
      </c>
      <c r="H652" s="28">
        <v>22</v>
      </c>
      <c r="I652" s="136">
        <v>29</v>
      </c>
      <c r="J652" s="27" t="s">
        <v>2522</v>
      </c>
      <c r="K652" s="28">
        <v>740</v>
      </c>
      <c r="L652" s="28" t="s">
        <v>566</v>
      </c>
      <c r="M652" s="38" t="s">
        <v>1830</v>
      </c>
      <c r="N652" s="150" t="s">
        <v>2092</v>
      </c>
      <c r="O652" s="153" t="s">
        <v>1260</v>
      </c>
      <c r="P652" s="153" t="s">
        <v>1260</v>
      </c>
    </row>
    <row r="653" spans="3:16" ht="15.75" thickBot="1">
      <c r="C653" s="2"/>
      <c r="D653" s="13" t="s">
        <v>2524</v>
      </c>
      <c r="E653" s="14">
        <v>630</v>
      </c>
      <c r="F653" s="15">
        <v>850</v>
      </c>
      <c r="G653" s="14">
        <v>8280</v>
      </c>
      <c r="H653" s="28">
        <v>20</v>
      </c>
      <c r="I653" s="136">
        <v>26</v>
      </c>
      <c r="J653" s="27" t="s">
        <v>2522</v>
      </c>
      <c r="K653" s="28">
        <v>740</v>
      </c>
      <c r="L653" s="28" t="s">
        <v>566</v>
      </c>
      <c r="M653" s="38" t="s">
        <v>1830</v>
      </c>
      <c r="N653" s="150" t="s">
        <v>2092</v>
      </c>
      <c r="O653" s="153" t="s">
        <v>1260</v>
      </c>
      <c r="P653" s="153" t="s">
        <v>1260</v>
      </c>
    </row>
    <row r="654" spans="3:16" ht="15.75" thickBot="1">
      <c r="C654" s="2"/>
      <c r="D654" s="13" t="s">
        <v>2525</v>
      </c>
      <c r="E654" s="14">
        <v>630</v>
      </c>
      <c r="F654" s="15">
        <v>850</v>
      </c>
      <c r="G654" s="14">
        <v>7600</v>
      </c>
      <c r="H654" s="28">
        <v>22</v>
      </c>
      <c r="I654" s="136">
        <v>29</v>
      </c>
      <c r="J654" s="27" t="s">
        <v>2522</v>
      </c>
      <c r="K654" s="28">
        <v>740</v>
      </c>
      <c r="L654" s="28" t="s">
        <v>566</v>
      </c>
      <c r="M654" s="38" t="s">
        <v>1830</v>
      </c>
      <c r="N654" s="150" t="s">
        <v>2092</v>
      </c>
      <c r="O654" s="153" t="s">
        <v>1260</v>
      </c>
      <c r="P654" s="153" t="s">
        <v>1260</v>
      </c>
    </row>
    <row r="655" spans="3:16" ht="15.75" thickBot="1">
      <c r="C655" s="2"/>
      <c r="D655" s="13" t="s">
        <v>2526</v>
      </c>
      <c r="E655" s="14">
        <v>560</v>
      </c>
      <c r="F655" s="15">
        <v>750</v>
      </c>
      <c r="G655" s="14">
        <v>7296</v>
      </c>
      <c r="H655" s="28">
        <v>20</v>
      </c>
      <c r="I655" s="136">
        <v>27</v>
      </c>
      <c r="J655" s="27" t="s">
        <v>2522</v>
      </c>
      <c r="K655" s="28">
        <v>740</v>
      </c>
      <c r="L655" s="28" t="s">
        <v>566</v>
      </c>
      <c r="M655" s="38" t="s">
        <v>1830</v>
      </c>
      <c r="N655" s="150" t="s">
        <v>2092</v>
      </c>
      <c r="O655" s="153" t="s">
        <v>1260</v>
      </c>
      <c r="P655" s="153" t="s">
        <v>1260</v>
      </c>
    </row>
    <row r="656" spans="3:16" ht="15.75" thickBot="1">
      <c r="C656" s="2"/>
      <c r="D656" s="13" t="s">
        <v>2527</v>
      </c>
      <c r="E656" s="14">
        <v>500</v>
      </c>
      <c r="F656" s="15">
        <v>670</v>
      </c>
      <c r="G656" s="14">
        <v>6992</v>
      </c>
      <c r="H656" s="28">
        <v>19</v>
      </c>
      <c r="I656" s="136">
        <v>25</v>
      </c>
      <c r="J656" s="27" t="s">
        <v>2522</v>
      </c>
      <c r="K656" s="28">
        <v>740</v>
      </c>
      <c r="L656" s="28" t="s">
        <v>566</v>
      </c>
      <c r="M656" s="38" t="s">
        <v>1830</v>
      </c>
      <c r="N656" s="150" t="s">
        <v>2092</v>
      </c>
      <c r="O656" s="153" t="s">
        <v>1260</v>
      </c>
      <c r="P656" s="153" t="s">
        <v>1260</v>
      </c>
    </row>
    <row r="657" spans="3:16" ht="23.25" thickBot="1">
      <c r="C657" s="7"/>
      <c r="D657" s="63"/>
      <c r="E657" s="63"/>
      <c r="F657" s="63"/>
      <c r="G657" s="63"/>
      <c r="H657" s="63"/>
      <c r="I657" s="63"/>
      <c r="J657" s="63"/>
      <c r="K657" s="1"/>
      <c r="L657" s="63"/>
      <c r="M657" s="1"/>
      <c r="N657" s="1"/>
      <c r="O657" s="63"/>
      <c r="P657" s="63"/>
    </row>
    <row r="658" spans="3:16" ht="15">
      <c r="D658" s="44" t="s">
        <v>190</v>
      </c>
      <c r="E658" s="45" t="s">
        <v>2528</v>
      </c>
      <c r="F658" s="46"/>
      <c r="G658" s="51"/>
      <c r="H658" s="51"/>
      <c r="I658" s="51"/>
      <c r="J658" s="51"/>
      <c r="K658" s="51"/>
      <c r="L658" s="51"/>
      <c r="M658" s="51"/>
      <c r="N658" s="51"/>
      <c r="O658" s="51"/>
      <c r="P658" s="51"/>
    </row>
    <row r="659" spans="3:16" ht="15">
      <c r="D659" s="47" t="s">
        <v>192</v>
      </c>
      <c r="E659" s="48" t="s">
        <v>2529</v>
      </c>
      <c r="F659" s="49"/>
      <c r="G659" s="52"/>
      <c r="H659" s="52"/>
      <c r="I659" s="52"/>
      <c r="J659" s="52"/>
      <c r="K659" s="52"/>
      <c r="L659" s="52"/>
      <c r="M659" s="52"/>
      <c r="N659" s="52"/>
      <c r="O659" s="52"/>
      <c r="P659" s="52"/>
    </row>
    <row r="660" spans="3:16" ht="15">
      <c r="D660" s="47" t="s">
        <v>2530</v>
      </c>
      <c r="E660" s="48" t="s">
        <v>2531</v>
      </c>
      <c r="F660" s="49"/>
      <c r="G660" s="52"/>
      <c r="H660" s="52"/>
      <c r="I660" s="52"/>
      <c r="J660" s="52"/>
      <c r="K660" s="52"/>
      <c r="L660" s="52"/>
      <c r="M660" s="52"/>
      <c r="N660" s="52"/>
      <c r="O660" s="52"/>
      <c r="P660" s="52"/>
    </row>
    <row r="661" spans="3:16" ht="15">
      <c r="D661" s="47" t="s">
        <v>193</v>
      </c>
      <c r="E661" s="151" t="s">
        <v>2532</v>
      </c>
      <c r="F661" s="49"/>
      <c r="G661" s="52"/>
      <c r="H661" s="52"/>
      <c r="I661" s="52"/>
      <c r="J661" s="52"/>
      <c r="K661" s="52"/>
      <c r="L661" s="52"/>
      <c r="M661" s="52"/>
      <c r="N661" s="52"/>
      <c r="O661" s="52"/>
      <c r="P661" s="52"/>
    </row>
    <row r="662" spans="3:16" ht="15">
      <c r="D662" s="60" t="s">
        <v>194</v>
      </c>
      <c r="E662" s="152" t="s">
        <v>2533</v>
      </c>
      <c r="F662" s="57"/>
      <c r="G662" s="58"/>
      <c r="H662" s="58"/>
      <c r="I662" s="58"/>
      <c r="J662" s="58"/>
      <c r="K662" s="58"/>
      <c r="L662" s="58"/>
      <c r="M662" s="58"/>
      <c r="N662" s="58"/>
      <c r="O662" s="58"/>
      <c r="P662" s="58"/>
    </row>
    <row r="663" spans="3:16" ht="15">
      <c r="D663" s="60" t="s">
        <v>2534</v>
      </c>
      <c r="E663" s="56" t="s">
        <v>2685</v>
      </c>
      <c r="F663" s="57"/>
      <c r="G663" s="58"/>
      <c r="H663" s="58"/>
      <c r="I663" s="58"/>
      <c r="J663" s="58"/>
      <c r="K663" s="58"/>
      <c r="L663" s="58"/>
      <c r="M663" s="58"/>
      <c r="N663" s="58"/>
      <c r="O663" s="58"/>
      <c r="P663" s="58"/>
    </row>
  </sheetData>
  <mergeCells count="6">
    <mergeCell ref="D10:D11"/>
    <mergeCell ref="E10:F11"/>
    <mergeCell ref="G10:I10"/>
    <mergeCell ref="L10:M11"/>
    <mergeCell ref="O10:P10"/>
    <mergeCell ref="O11:P1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4">
    <tabColor theme="8" tint="0.39997558519241921"/>
  </sheetPr>
  <dimension ref="A3:M38"/>
  <sheetViews>
    <sheetView zoomScale="115" zoomScaleNormal="115" workbookViewId="0">
      <selection activeCell="O5" sqref="O5"/>
    </sheetView>
  </sheetViews>
  <sheetFormatPr defaultRowHeight="14.25"/>
  <cols>
    <col min="1" max="1" width="35.875" customWidth="1"/>
    <col min="2" max="2" width="27.25" customWidth="1"/>
    <col min="9" max="9" width="11.125" customWidth="1"/>
    <col min="12" max="12" width="16.5" customWidth="1"/>
    <col min="13" max="13" width="15.25" customWidth="1"/>
  </cols>
  <sheetData>
    <row r="3" spans="1:13" ht="25.5">
      <c r="B3" s="94" t="s">
        <v>1302</v>
      </c>
      <c r="C3" s="95"/>
      <c r="D3" s="95"/>
      <c r="E3" s="95"/>
      <c r="F3" s="95"/>
      <c r="G3" s="95"/>
      <c r="H3" s="17"/>
      <c r="I3" s="95"/>
      <c r="J3" s="29"/>
      <c r="K3" s="29"/>
      <c r="L3" s="95"/>
      <c r="M3" s="96" t="s">
        <v>706</v>
      </c>
    </row>
    <row r="4" spans="1:13" ht="23.25" thickBot="1">
      <c r="B4" s="97"/>
      <c r="C4" s="97"/>
      <c r="D4" s="97"/>
      <c r="E4" s="97"/>
      <c r="F4" s="97"/>
      <c r="G4" s="97"/>
      <c r="H4" s="1"/>
      <c r="I4" s="97"/>
      <c r="J4" s="1"/>
      <c r="K4" s="1"/>
      <c r="L4" s="97"/>
      <c r="M4" s="97"/>
    </row>
    <row r="5" spans="1:13">
      <c r="B5" s="253" t="s">
        <v>0</v>
      </c>
      <c r="C5" s="255" t="s">
        <v>1</v>
      </c>
      <c r="D5" s="253"/>
      <c r="E5" s="265" t="s">
        <v>2</v>
      </c>
      <c r="F5" s="265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9" t="s">
        <v>8</v>
      </c>
      <c r="M5" s="255"/>
    </row>
    <row r="6" spans="1:13" ht="15">
      <c r="B6" s="254"/>
      <c r="C6" s="256"/>
      <c r="D6" s="254"/>
      <c r="E6" s="20" t="s">
        <v>9</v>
      </c>
      <c r="F6" s="10" t="s">
        <v>10</v>
      </c>
      <c r="G6" s="21"/>
      <c r="H6" s="22"/>
      <c r="I6" s="32"/>
      <c r="J6" s="33"/>
      <c r="K6" s="33"/>
      <c r="L6" s="260" t="s">
        <v>11</v>
      </c>
      <c r="M6" s="261"/>
    </row>
    <row r="7" spans="1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1:13" ht="15.75" thickBot="1">
      <c r="B8" s="13" t="s">
        <v>1275</v>
      </c>
      <c r="C8" s="98">
        <v>45</v>
      </c>
      <c r="D8" s="15">
        <v>60</v>
      </c>
      <c r="E8" s="14">
        <v>90</v>
      </c>
      <c r="F8" s="15">
        <v>94.5</v>
      </c>
      <c r="G8" s="27" t="s">
        <v>689</v>
      </c>
      <c r="H8" s="28">
        <v>2900</v>
      </c>
      <c r="I8" s="38" t="s">
        <v>707</v>
      </c>
      <c r="J8" s="39">
        <v>393</v>
      </c>
      <c r="K8" s="42">
        <f>1.1*0.47*0.62</f>
        <v>0.32053999999999999</v>
      </c>
      <c r="L8" s="324"/>
      <c r="M8" s="242">
        <v>4555.9799999999996</v>
      </c>
    </row>
    <row r="9" spans="1:13" ht="15" thickBot="1">
      <c r="B9" s="13" t="s">
        <v>1276</v>
      </c>
      <c r="C9" s="98">
        <v>55</v>
      </c>
      <c r="D9" s="15">
        <v>75</v>
      </c>
      <c r="E9" s="14">
        <v>120</v>
      </c>
      <c r="F9" s="15">
        <v>110</v>
      </c>
      <c r="G9" s="27" t="s">
        <v>689</v>
      </c>
      <c r="H9" s="28">
        <v>2900</v>
      </c>
      <c r="I9" s="38" t="s">
        <v>707</v>
      </c>
      <c r="J9" s="39">
        <v>474</v>
      </c>
      <c r="K9" s="42">
        <f>1.19*0.47*0.62</f>
        <v>0.34676599999999996</v>
      </c>
      <c r="L9" s="324"/>
      <c r="M9" s="326" t="s">
        <v>1260</v>
      </c>
    </row>
    <row r="10" spans="1:13" ht="15" thickBot="1">
      <c r="B10" s="13" t="s">
        <v>1277</v>
      </c>
      <c r="C10" s="98">
        <v>75</v>
      </c>
      <c r="D10" s="15">
        <v>100</v>
      </c>
      <c r="E10" s="14">
        <v>144</v>
      </c>
      <c r="F10" s="15">
        <v>120</v>
      </c>
      <c r="G10" s="27" t="s">
        <v>689</v>
      </c>
      <c r="H10" s="28">
        <v>2900</v>
      </c>
      <c r="I10" s="38" t="s">
        <v>707</v>
      </c>
      <c r="J10" s="39">
        <v>608</v>
      </c>
      <c r="K10" s="42">
        <f>1.26*0.47*0.62</f>
        <v>0.36716399999999999</v>
      </c>
      <c r="L10" s="324"/>
      <c r="M10" s="327"/>
    </row>
    <row r="11" spans="1:13" ht="15" thickBot="1">
      <c r="B11" s="13" t="s">
        <v>1278</v>
      </c>
      <c r="C11" s="98">
        <v>90</v>
      </c>
      <c r="D11" s="15">
        <v>125</v>
      </c>
      <c r="E11" s="14">
        <v>144</v>
      </c>
      <c r="F11" s="15">
        <v>130</v>
      </c>
      <c r="G11" s="27" t="s">
        <v>689</v>
      </c>
      <c r="H11" s="28">
        <v>2900</v>
      </c>
      <c r="I11" s="38" t="s">
        <v>707</v>
      </c>
      <c r="J11" s="39">
        <v>644</v>
      </c>
      <c r="K11" s="42">
        <f>1.31*0.47*0.62</f>
        <v>0.38173400000000002</v>
      </c>
      <c r="L11" s="324"/>
      <c r="M11" s="327"/>
    </row>
    <row r="12" spans="1:13" ht="13.5" customHeight="1" thickBot="1">
      <c r="B12" s="13" t="s">
        <v>1279</v>
      </c>
      <c r="C12" s="98">
        <v>45</v>
      </c>
      <c r="D12" s="15">
        <v>60</v>
      </c>
      <c r="E12" s="14">
        <v>144</v>
      </c>
      <c r="F12" s="15">
        <v>78.5</v>
      </c>
      <c r="G12" s="27" t="s">
        <v>699</v>
      </c>
      <c r="H12" s="28">
        <v>2900</v>
      </c>
      <c r="I12" s="38" t="s">
        <v>707</v>
      </c>
      <c r="J12" s="39">
        <v>372</v>
      </c>
      <c r="K12" s="42">
        <f>1*0.45*0.69</f>
        <v>0.3105</v>
      </c>
      <c r="L12" s="324"/>
      <c r="M12" s="242">
        <v>4796.22</v>
      </c>
    </row>
    <row r="13" spans="1:13" ht="15" thickBot="1">
      <c r="B13" s="13" t="s">
        <v>1280</v>
      </c>
      <c r="C13" s="98">
        <v>55</v>
      </c>
      <c r="D13" s="15">
        <v>75</v>
      </c>
      <c r="E13" s="14">
        <v>144</v>
      </c>
      <c r="F13" s="15">
        <v>87</v>
      </c>
      <c r="G13" s="27" t="s">
        <v>699</v>
      </c>
      <c r="H13" s="28">
        <v>2900</v>
      </c>
      <c r="I13" s="38" t="s">
        <v>707</v>
      </c>
      <c r="J13" s="39">
        <v>422</v>
      </c>
      <c r="K13" s="42">
        <f>1.05*0.53*0.72</f>
        <v>0.40068000000000004</v>
      </c>
      <c r="L13" s="324"/>
      <c r="M13" s="222" t="s">
        <v>1260</v>
      </c>
    </row>
    <row r="14" spans="1:13" ht="15.75" thickBot="1">
      <c r="B14" s="13" t="s">
        <v>1281</v>
      </c>
      <c r="C14" s="98">
        <v>45</v>
      </c>
      <c r="D14" s="15">
        <v>60</v>
      </c>
      <c r="E14" s="14">
        <v>144</v>
      </c>
      <c r="F14" s="15">
        <v>78</v>
      </c>
      <c r="G14" s="27" t="s">
        <v>699</v>
      </c>
      <c r="H14" s="28">
        <v>2900</v>
      </c>
      <c r="I14" s="38" t="s">
        <v>707</v>
      </c>
      <c r="J14" s="39">
        <v>406</v>
      </c>
      <c r="K14" s="42">
        <f>1.1*0.48*0.68</f>
        <v>0.35904000000000003</v>
      </c>
      <c r="L14" s="324"/>
      <c r="M14" s="242">
        <v>4596.24</v>
      </c>
    </row>
    <row r="15" spans="1:13" ht="15" thickBot="1">
      <c r="B15" s="13" t="s">
        <v>1282</v>
      </c>
      <c r="C15" s="98">
        <v>55</v>
      </c>
      <c r="D15" s="15">
        <v>75</v>
      </c>
      <c r="E15" s="14">
        <v>144</v>
      </c>
      <c r="F15" s="15">
        <v>91</v>
      </c>
      <c r="G15" s="27" t="s">
        <v>699</v>
      </c>
      <c r="H15" s="28">
        <v>2900</v>
      </c>
      <c r="I15" s="38" t="s">
        <v>707</v>
      </c>
      <c r="J15" s="39">
        <v>487</v>
      </c>
      <c r="K15" s="42">
        <f>1.19*0.48*0.68</f>
        <v>0.38841599999999998</v>
      </c>
      <c r="L15" s="324"/>
      <c r="M15" s="326" t="s">
        <v>1260</v>
      </c>
    </row>
    <row r="16" spans="1:13" ht="15.75" thickBot="1">
      <c r="A16" s="16"/>
      <c r="B16" s="13" t="s">
        <v>1283</v>
      </c>
      <c r="C16" s="98">
        <v>75</v>
      </c>
      <c r="D16" s="15">
        <v>100</v>
      </c>
      <c r="E16" s="14">
        <v>180</v>
      </c>
      <c r="F16" s="15">
        <v>107.3</v>
      </c>
      <c r="G16" s="27" t="s">
        <v>699</v>
      </c>
      <c r="H16" s="28">
        <v>2900</v>
      </c>
      <c r="I16" s="38" t="s">
        <v>707</v>
      </c>
      <c r="J16" s="39">
        <v>621</v>
      </c>
      <c r="K16" s="42">
        <f>1.26*0.48*0.68</f>
        <v>0.41126400000000002</v>
      </c>
      <c r="L16" s="324"/>
      <c r="M16" s="324"/>
    </row>
    <row r="17" spans="1:13" ht="15" thickBot="1">
      <c r="B17" s="13" t="s">
        <v>1284</v>
      </c>
      <c r="C17" s="98">
        <v>90</v>
      </c>
      <c r="D17" s="15">
        <v>125</v>
      </c>
      <c r="E17" s="14">
        <v>180</v>
      </c>
      <c r="F17" s="15">
        <v>127.3</v>
      </c>
      <c r="G17" s="27" t="s">
        <v>699</v>
      </c>
      <c r="H17" s="28">
        <v>2900</v>
      </c>
      <c r="I17" s="38" t="s">
        <v>707</v>
      </c>
      <c r="J17" s="39">
        <v>657</v>
      </c>
      <c r="K17" s="42">
        <f>1.31*0.48*0.68</f>
        <v>0.42758400000000008</v>
      </c>
      <c r="L17" s="324"/>
      <c r="M17" s="324"/>
    </row>
    <row r="18" spans="1:13" ht="15.75" thickBot="1">
      <c r="A18" s="2"/>
      <c r="B18" s="13" t="s">
        <v>1286</v>
      </c>
      <c r="C18" s="98">
        <v>45</v>
      </c>
      <c r="D18" s="15">
        <v>60</v>
      </c>
      <c r="E18" s="14">
        <v>200</v>
      </c>
      <c r="F18" s="15">
        <v>56</v>
      </c>
      <c r="G18" s="27" t="s">
        <v>1285</v>
      </c>
      <c r="H18" s="28">
        <v>2900</v>
      </c>
      <c r="I18" s="38" t="s">
        <v>707</v>
      </c>
      <c r="J18" s="39">
        <v>388</v>
      </c>
      <c r="K18" s="42">
        <f>1*0.45*0.69</f>
        <v>0.3105</v>
      </c>
      <c r="L18" s="324"/>
      <c r="M18" s="242">
        <v>4984.9799999999996</v>
      </c>
    </row>
    <row r="19" spans="1:13" ht="15.75" thickBot="1">
      <c r="A19" s="2"/>
      <c r="B19" s="13" t="s">
        <v>1287</v>
      </c>
      <c r="C19" s="98">
        <v>55</v>
      </c>
      <c r="D19" s="15">
        <v>75</v>
      </c>
      <c r="E19" s="14">
        <v>200</v>
      </c>
      <c r="F19" s="15">
        <v>71.7</v>
      </c>
      <c r="G19" s="27" t="s">
        <v>1285</v>
      </c>
      <c r="H19" s="28">
        <v>2900</v>
      </c>
      <c r="I19" s="38" t="s">
        <v>707</v>
      </c>
      <c r="J19" s="39">
        <v>473</v>
      </c>
      <c r="K19" s="42">
        <f>1.05*0.53*0.72</f>
        <v>0.40068000000000004</v>
      </c>
      <c r="L19" s="324"/>
      <c r="M19" s="326" t="s">
        <v>1260</v>
      </c>
    </row>
    <row r="20" spans="1:13" ht="15.75" thickBot="1">
      <c r="A20" s="16" t="s">
        <v>1369</v>
      </c>
      <c r="B20" s="13" t="s">
        <v>1288</v>
      </c>
      <c r="C20" s="98">
        <v>75</v>
      </c>
      <c r="D20" s="15">
        <v>100</v>
      </c>
      <c r="E20" s="14">
        <v>240</v>
      </c>
      <c r="F20" s="15">
        <v>78</v>
      </c>
      <c r="G20" s="27" t="s">
        <v>1285</v>
      </c>
      <c r="H20" s="28">
        <v>2900</v>
      </c>
      <c r="I20" s="38" t="s">
        <v>707</v>
      </c>
      <c r="J20" s="39">
        <v>605</v>
      </c>
      <c r="K20" s="42">
        <f>1.05*0.53*0.72</f>
        <v>0.40068000000000004</v>
      </c>
      <c r="L20" s="324"/>
      <c r="M20" s="324"/>
    </row>
    <row r="21" spans="1:13" ht="15.75" thickBot="1">
      <c r="A21" s="2"/>
      <c r="B21" s="13" t="s">
        <v>1289</v>
      </c>
      <c r="C21" s="98">
        <v>90</v>
      </c>
      <c r="D21" s="15">
        <v>125</v>
      </c>
      <c r="E21" s="14">
        <v>240</v>
      </c>
      <c r="F21" s="15">
        <v>87</v>
      </c>
      <c r="G21" s="27" t="s">
        <v>1285</v>
      </c>
      <c r="H21" s="28">
        <v>2900</v>
      </c>
      <c r="I21" s="38" t="s">
        <v>707</v>
      </c>
      <c r="J21" s="39">
        <v>641</v>
      </c>
      <c r="K21" s="42">
        <f>1.33*0.45*0.69</f>
        <v>0.41296499999999997</v>
      </c>
      <c r="L21" s="324"/>
      <c r="M21" s="324"/>
    </row>
    <row r="22" spans="1:13" ht="15.75" thickBot="1">
      <c r="A22" s="2"/>
      <c r="B22" s="13" t="s">
        <v>1290</v>
      </c>
      <c r="C22" s="98">
        <v>75</v>
      </c>
      <c r="D22" s="15">
        <v>100</v>
      </c>
      <c r="E22" s="14">
        <v>240</v>
      </c>
      <c r="F22" s="15">
        <v>70.7</v>
      </c>
      <c r="G22" s="27" t="s">
        <v>1285</v>
      </c>
      <c r="H22" s="28">
        <v>2900</v>
      </c>
      <c r="I22" s="38" t="s">
        <v>707</v>
      </c>
      <c r="J22" s="39">
        <v>625</v>
      </c>
      <c r="K22" s="42">
        <f>1.29*0.51*0.74</f>
        <v>0.486846</v>
      </c>
      <c r="L22" s="324"/>
      <c r="M22" s="324"/>
    </row>
    <row r="23" spans="1:13" ht="15.75" thickBot="1">
      <c r="A23" s="2"/>
      <c r="B23" s="13" t="s">
        <v>1291</v>
      </c>
      <c r="C23" s="98">
        <v>90</v>
      </c>
      <c r="D23" s="15">
        <v>125</v>
      </c>
      <c r="E23" s="14">
        <v>240</v>
      </c>
      <c r="F23" s="15">
        <v>90.7</v>
      </c>
      <c r="G23" s="27" t="s">
        <v>1285</v>
      </c>
      <c r="H23" s="28">
        <v>2900</v>
      </c>
      <c r="I23" s="38" t="s">
        <v>707</v>
      </c>
      <c r="J23" s="39">
        <v>661</v>
      </c>
      <c r="K23" s="42">
        <f>1.34*0.51*0.74</f>
        <v>0.50571600000000005</v>
      </c>
      <c r="L23" s="324"/>
      <c r="M23" s="324"/>
    </row>
    <row r="24" spans="1:13" ht="15.75" thickBot="1">
      <c r="A24" s="2"/>
      <c r="B24" s="13" t="s">
        <v>1292</v>
      </c>
      <c r="C24" s="98">
        <v>110</v>
      </c>
      <c r="D24" s="15">
        <v>150</v>
      </c>
      <c r="E24" s="14">
        <v>240</v>
      </c>
      <c r="F24" s="15">
        <v>108.7</v>
      </c>
      <c r="G24" s="27" t="s">
        <v>1285</v>
      </c>
      <c r="H24" s="28">
        <v>2900</v>
      </c>
      <c r="I24" s="38" t="s">
        <v>707</v>
      </c>
      <c r="J24" s="39">
        <v>1012</v>
      </c>
      <c r="K24" s="42">
        <f>1.5*0.51*0.74</f>
        <v>0.56610000000000005</v>
      </c>
      <c r="L24" s="324"/>
      <c r="M24" s="324"/>
    </row>
    <row r="25" spans="1:13" ht="15.75" thickBot="1">
      <c r="A25" s="2"/>
      <c r="B25" s="13" t="s">
        <v>1293</v>
      </c>
      <c r="C25" s="98">
        <v>132</v>
      </c>
      <c r="D25" s="15">
        <v>180</v>
      </c>
      <c r="E25" s="14">
        <v>240</v>
      </c>
      <c r="F25" s="15">
        <v>119.7</v>
      </c>
      <c r="G25" s="27" t="s">
        <v>1285</v>
      </c>
      <c r="H25" s="28">
        <v>2900</v>
      </c>
      <c r="I25" s="38" t="s">
        <v>707</v>
      </c>
      <c r="J25" s="39">
        <v>1130</v>
      </c>
      <c r="K25" s="40">
        <f>1.61*0.51*0.74</f>
        <v>0.60761399999999999</v>
      </c>
      <c r="L25" s="324"/>
      <c r="M25" s="324"/>
    </row>
    <row r="26" spans="1:13" ht="15.75" thickBot="1">
      <c r="A26" s="16"/>
      <c r="B26" s="13" t="s">
        <v>1294</v>
      </c>
      <c r="C26" s="98">
        <v>160</v>
      </c>
      <c r="D26" s="15">
        <v>220</v>
      </c>
      <c r="E26" s="14">
        <v>240</v>
      </c>
      <c r="F26" s="15">
        <v>138.69999999999999</v>
      </c>
      <c r="G26" s="27" t="s">
        <v>1285</v>
      </c>
      <c r="H26" s="28">
        <v>2900</v>
      </c>
      <c r="I26" s="38" t="s">
        <v>707</v>
      </c>
      <c r="J26" s="39">
        <v>1168</v>
      </c>
      <c r="K26" s="40">
        <f>1.61*0.51*0.74</f>
        <v>0.60761399999999999</v>
      </c>
      <c r="L26" s="324"/>
      <c r="M26" s="324"/>
    </row>
    <row r="27" spans="1:13" ht="15.75" thickBot="1">
      <c r="A27" s="2"/>
      <c r="B27" s="13" t="s">
        <v>1295</v>
      </c>
      <c r="C27" s="98">
        <v>45</v>
      </c>
      <c r="D27" s="15">
        <v>60</v>
      </c>
      <c r="E27" s="14">
        <v>280</v>
      </c>
      <c r="F27" s="15">
        <v>35</v>
      </c>
      <c r="G27" s="27" t="s">
        <v>1296</v>
      </c>
      <c r="H27" s="28">
        <v>2900</v>
      </c>
      <c r="I27" s="38" t="s">
        <v>707</v>
      </c>
      <c r="J27" s="39">
        <v>402</v>
      </c>
      <c r="K27" s="40">
        <f>1.13*0.45*0.68</f>
        <v>0.34577999999999998</v>
      </c>
      <c r="L27" s="324"/>
      <c r="M27" s="242">
        <v>5084.6400000000003</v>
      </c>
    </row>
    <row r="28" spans="1:13" ht="15.75" thickBot="1">
      <c r="A28" s="2"/>
      <c r="B28" s="13" t="s">
        <v>1297</v>
      </c>
      <c r="C28" s="98">
        <v>55</v>
      </c>
      <c r="D28" s="15">
        <v>75</v>
      </c>
      <c r="E28" s="14">
        <v>280</v>
      </c>
      <c r="F28" s="15">
        <v>45</v>
      </c>
      <c r="G28" s="27" t="s">
        <v>1296</v>
      </c>
      <c r="H28" s="28">
        <v>2900</v>
      </c>
      <c r="I28" s="38" t="s">
        <v>707</v>
      </c>
      <c r="J28" s="39">
        <v>483</v>
      </c>
      <c r="K28" s="40">
        <f>1.22*0.45*0.68</f>
        <v>0.37332000000000004</v>
      </c>
      <c r="L28" s="324"/>
      <c r="M28" s="326" t="s">
        <v>1260</v>
      </c>
    </row>
    <row r="29" spans="1:13" ht="15.75" thickBot="1">
      <c r="A29" s="2"/>
      <c r="B29" s="13" t="s">
        <v>1298</v>
      </c>
      <c r="C29" s="98">
        <v>75</v>
      </c>
      <c r="D29" s="15">
        <v>100</v>
      </c>
      <c r="E29" s="14">
        <v>280</v>
      </c>
      <c r="F29" s="15">
        <v>56</v>
      </c>
      <c r="G29" s="27" t="s">
        <v>1296</v>
      </c>
      <c r="H29" s="28">
        <v>2900</v>
      </c>
      <c r="I29" s="38" t="s">
        <v>707</v>
      </c>
      <c r="J29" s="39">
        <v>617</v>
      </c>
      <c r="K29" s="40">
        <f>1.29*0.45*0.68</f>
        <v>0.39474000000000004</v>
      </c>
      <c r="L29" s="324"/>
      <c r="M29" s="324"/>
    </row>
    <row r="30" spans="1:13" ht="15.75" thickBot="1">
      <c r="A30" s="16" t="s">
        <v>1370</v>
      </c>
      <c r="B30" s="13" t="s">
        <v>1299</v>
      </c>
      <c r="C30" s="98">
        <v>55</v>
      </c>
      <c r="D30" s="15">
        <v>75</v>
      </c>
      <c r="E30" s="14">
        <v>200</v>
      </c>
      <c r="F30" s="15">
        <v>63</v>
      </c>
      <c r="G30" s="27" t="s">
        <v>1296</v>
      </c>
      <c r="H30" s="28">
        <v>2900</v>
      </c>
      <c r="I30" s="38" t="s">
        <v>707</v>
      </c>
      <c r="J30" s="39">
        <v>490</v>
      </c>
      <c r="K30" s="40">
        <f>1.22*0.53*0.72</f>
        <v>0.46555200000000002</v>
      </c>
      <c r="L30" s="324"/>
      <c r="M30" s="324"/>
    </row>
    <row r="31" spans="1:13" ht="15.75" thickBot="1">
      <c r="A31" s="2"/>
      <c r="B31" s="13" t="s">
        <v>1300</v>
      </c>
      <c r="C31" s="98">
        <v>75</v>
      </c>
      <c r="D31" s="15">
        <v>100</v>
      </c>
      <c r="E31" s="14">
        <v>240</v>
      </c>
      <c r="F31" s="15">
        <v>70</v>
      </c>
      <c r="G31" s="27" t="s">
        <v>1296</v>
      </c>
      <c r="H31" s="28">
        <v>2900</v>
      </c>
      <c r="I31" s="38" t="s">
        <v>707</v>
      </c>
      <c r="J31" s="39">
        <v>623</v>
      </c>
      <c r="K31" s="40">
        <f>1.29*0.53*0.72</f>
        <v>0.49226400000000003</v>
      </c>
      <c r="L31" s="324"/>
      <c r="M31" s="324"/>
    </row>
    <row r="32" spans="1:13" ht="15.75" thickBot="1">
      <c r="A32" s="2"/>
      <c r="B32" s="13" t="s">
        <v>1301</v>
      </c>
      <c r="C32" s="98">
        <v>90</v>
      </c>
      <c r="D32" s="15">
        <v>125</v>
      </c>
      <c r="E32" s="14">
        <v>280</v>
      </c>
      <c r="F32" s="15">
        <v>73.5</v>
      </c>
      <c r="G32" s="27" t="s">
        <v>1296</v>
      </c>
      <c r="H32" s="28">
        <v>2900</v>
      </c>
      <c r="I32" s="38" t="s">
        <v>707</v>
      </c>
      <c r="J32" s="39">
        <v>660</v>
      </c>
      <c r="K32" s="40">
        <f>1.34*0.53*0.72</f>
        <v>0.51134400000000002</v>
      </c>
      <c r="L32" s="325"/>
      <c r="M32" s="325"/>
    </row>
    <row r="33" spans="1:13" ht="23.25" thickBot="1">
      <c r="A33" s="2"/>
      <c r="B33" s="97"/>
      <c r="C33" s="97"/>
      <c r="D33" s="97"/>
      <c r="E33" s="97"/>
      <c r="F33" s="97"/>
      <c r="G33" s="97"/>
      <c r="H33" s="1"/>
      <c r="I33" s="97"/>
      <c r="J33" s="1"/>
      <c r="K33" s="1"/>
      <c r="L33" s="97"/>
      <c r="M33" s="97"/>
    </row>
    <row r="34" spans="1:13" ht="15">
      <c r="A34" s="2"/>
      <c r="B34" s="44" t="s">
        <v>190</v>
      </c>
      <c r="C34" s="45" t="s">
        <v>527</v>
      </c>
      <c r="D34" s="46"/>
      <c r="E34" s="51"/>
      <c r="F34" s="51"/>
      <c r="G34" s="51"/>
      <c r="H34" s="51"/>
      <c r="I34" s="51"/>
      <c r="J34" s="51"/>
      <c r="K34" s="51"/>
      <c r="L34" s="51"/>
      <c r="M34" s="51"/>
    </row>
    <row r="35" spans="1:13" ht="15">
      <c r="A35" s="2"/>
      <c r="B35" s="47" t="s">
        <v>192</v>
      </c>
      <c r="C35" s="48" t="s">
        <v>708</v>
      </c>
      <c r="D35" s="49"/>
      <c r="E35" s="52"/>
      <c r="F35" s="52"/>
      <c r="G35" s="52"/>
      <c r="H35" s="52"/>
      <c r="I35" s="52"/>
      <c r="J35" s="52"/>
      <c r="K35" s="52"/>
      <c r="L35" s="52"/>
      <c r="M35" s="52"/>
    </row>
    <row r="36" spans="1:13" ht="15">
      <c r="A36" s="16"/>
      <c r="B36" s="47" t="s">
        <v>193</v>
      </c>
      <c r="C36" s="48" t="s">
        <v>709</v>
      </c>
      <c r="D36" s="49"/>
      <c r="E36" s="52"/>
      <c r="F36" s="52"/>
      <c r="G36" s="52"/>
      <c r="H36" s="52"/>
      <c r="I36" s="52"/>
      <c r="J36" s="52"/>
      <c r="K36" s="52"/>
      <c r="L36" s="52"/>
      <c r="M36" s="52"/>
    </row>
    <row r="37" spans="1:13" ht="15">
      <c r="A37" s="2"/>
      <c r="B37" s="47" t="s">
        <v>194</v>
      </c>
      <c r="C37" s="56" t="s">
        <v>195</v>
      </c>
      <c r="D37" s="49"/>
      <c r="E37" s="52"/>
      <c r="F37" s="52"/>
      <c r="G37" s="52"/>
      <c r="H37" s="52"/>
      <c r="I37" s="52"/>
      <c r="J37" s="52"/>
      <c r="K37" s="52"/>
      <c r="L37" s="52"/>
      <c r="M37" s="52"/>
    </row>
    <row r="38" spans="1:13" ht="15">
      <c r="B38" s="60" t="s">
        <v>529</v>
      </c>
      <c r="C38" s="56" t="s">
        <v>710</v>
      </c>
      <c r="D38" s="57"/>
      <c r="E38" s="58"/>
      <c r="F38" s="58"/>
      <c r="G38" s="58"/>
      <c r="H38" s="58"/>
      <c r="I38" s="58"/>
      <c r="J38" s="58"/>
      <c r="K38" s="58"/>
      <c r="L38" s="58"/>
      <c r="M38" s="58"/>
    </row>
  </sheetData>
  <mergeCells count="10">
    <mergeCell ref="B5:B6"/>
    <mergeCell ref="C5:D6"/>
    <mergeCell ref="E5:F5"/>
    <mergeCell ref="L5:M5"/>
    <mergeCell ref="L6:M6"/>
    <mergeCell ref="L8:L32"/>
    <mergeCell ref="M9:M11"/>
    <mergeCell ref="M15:M17"/>
    <mergeCell ref="M19:M26"/>
    <mergeCell ref="M28:M3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5">
    <tabColor theme="8" tint="0.39997558519241921"/>
  </sheetPr>
  <dimension ref="B3:N75"/>
  <sheetViews>
    <sheetView workbookViewId="0"/>
  </sheetViews>
  <sheetFormatPr defaultRowHeight="14.25"/>
  <cols>
    <col min="1" max="1" width="35.75" customWidth="1"/>
    <col min="2" max="2" width="26.875" customWidth="1"/>
    <col min="13" max="13" width="10.625" bestFit="1" customWidth="1"/>
    <col min="14" max="14" width="37" customWidth="1"/>
  </cols>
  <sheetData>
    <row r="3" spans="2:13" ht="25.5">
      <c r="B3" s="92" t="s">
        <v>1303</v>
      </c>
      <c r="C3" s="93"/>
      <c r="D3" s="93"/>
      <c r="E3" s="93"/>
      <c r="F3" s="93"/>
      <c r="G3" s="93"/>
      <c r="H3" s="17"/>
      <c r="I3" s="93"/>
      <c r="J3" s="29"/>
      <c r="K3" s="29"/>
      <c r="L3" s="93"/>
      <c r="M3" s="99" t="s">
        <v>1304</v>
      </c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3" t="s">
        <v>0</v>
      </c>
      <c r="C5" s="255" t="s">
        <v>1</v>
      </c>
      <c r="D5" s="253"/>
      <c r="E5" s="265" t="s">
        <v>2</v>
      </c>
      <c r="F5" s="265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9" t="s">
        <v>8</v>
      </c>
      <c r="M5" s="255"/>
    </row>
    <row r="6" spans="2:13" ht="15">
      <c r="B6" s="254"/>
      <c r="C6" s="256"/>
      <c r="D6" s="254"/>
      <c r="E6" s="20" t="s">
        <v>9</v>
      </c>
      <c r="F6" s="10" t="s">
        <v>10</v>
      </c>
      <c r="G6" s="21"/>
      <c r="H6" s="22"/>
      <c r="I6" s="32"/>
      <c r="J6" s="33"/>
      <c r="K6" s="33"/>
      <c r="L6" s="260" t="s">
        <v>11</v>
      </c>
      <c r="M6" s="261"/>
    </row>
    <row r="7" spans="2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486</v>
      </c>
      <c r="M7" s="43" t="s">
        <v>487</v>
      </c>
    </row>
    <row r="8" spans="2:13" ht="15" thickBot="1">
      <c r="B8" s="13" t="s">
        <v>1305</v>
      </c>
      <c r="C8" s="14">
        <v>3</v>
      </c>
      <c r="D8" s="15">
        <v>4</v>
      </c>
      <c r="E8" s="14">
        <v>45</v>
      </c>
      <c r="F8" s="15">
        <v>12.6</v>
      </c>
      <c r="G8" s="27" t="s">
        <v>711</v>
      </c>
      <c r="H8" s="28">
        <v>1450</v>
      </c>
      <c r="I8" s="38" t="s">
        <v>707</v>
      </c>
      <c r="J8" s="39">
        <v>80</v>
      </c>
      <c r="K8" s="42">
        <f>0.64*0.4*0.53</f>
        <v>0.13568000000000002</v>
      </c>
      <c r="L8" s="41"/>
      <c r="M8" s="79">
        <v>989.96100000000013</v>
      </c>
    </row>
    <row r="9" spans="2:13" ht="15" thickBot="1">
      <c r="B9" s="13" t="s">
        <v>1306</v>
      </c>
      <c r="C9" s="14">
        <v>4</v>
      </c>
      <c r="D9" s="15">
        <v>5.5</v>
      </c>
      <c r="E9" s="14">
        <v>45</v>
      </c>
      <c r="F9" s="15">
        <v>16.899999999999999</v>
      </c>
      <c r="G9" s="27" t="s">
        <v>711</v>
      </c>
      <c r="H9" s="28">
        <v>1450</v>
      </c>
      <c r="I9" s="38" t="s">
        <v>707</v>
      </c>
      <c r="J9" s="39">
        <v>96</v>
      </c>
      <c r="K9" s="42">
        <f>0.64*0.4*0.53</f>
        <v>0.13568000000000002</v>
      </c>
      <c r="L9" s="41"/>
      <c r="M9" s="79">
        <v>1082.424</v>
      </c>
    </row>
    <row r="10" spans="2:13" ht="15" thickBot="1">
      <c r="B10" s="13" t="s">
        <v>1307</v>
      </c>
      <c r="C10" s="14">
        <v>5.5</v>
      </c>
      <c r="D10" s="15">
        <v>7.5</v>
      </c>
      <c r="E10" s="14">
        <v>50</v>
      </c>
      <c r="F10" s="15">
        <v>19.2</v>
      </c>
      <c r="G10" s="27" t="s">
        <v>711</v>
      </c>
      <c r="H10" s="28">
        <v>1450</v>
      </c>
      <c r="I10" s="38" t="s">
        <v>707</v>
      </c>
      <c r="J10" s="39">
        <v>108</v>
      </c>
      <c r="K10" s="42">
        <f>0.67*0.4*0.53</f>
        <v>0.14204000000000003</v>
      </c>
      <c r="L10" s="41"/>
      <c r="M10" s="79">
        <v>1371.5940000000001</v>
      </c>
    </row>
    <row r="11" spans="2:13" ht="15" thickBot="1">
      <c r="B11" s="13" t="s">
        <v>1308</v>
      </c>
      <c r="C11" s="14">
        <v>4</v>
      </c>
      <c r="D11" s="15">
        <v>5.5</v>
      </c>
      <c r="E11" s="14">
        <v>42</v>
      </c>
      <c r="F11" s="15">
        <v>16.7</v>
      </c>
      <c r="G11" s="27" t="s">
        <v>711</v>
      </c>
      <c r="H11" s="28">
        <v>1450</v>
      </c>
      <c r="I11" s="38" t="s">
        <v>707</v>
      </c>
      <c r="J11" s="39">
        <v>115</v>
      </c>
      <c r="K11" s="42">
        <f>0.67*0.47*0.62</f>
        <v>0.19523799999999999</v>
      </c>
      <c r="L11" s="41"/>
      <c r="M11" s="79">
        <v>1114.1970000000001</v>
      </c>
    </row>
    <row r="12" spans="2:13" ht="15" thickBot="1">
      <c r="B12" s="13" t="s">
        <v>1309</v>
      </c>
      <c r="C12" s="14">
        <v>5.5</v>
      </c>
      <c r="D12" s="15">
        <v>7.5</v>
      </c>
      <c r="E12" s="14">
        <v>45</v>
      </c>
      <c r="F12" s="15">
        <v>20.2</v>
      </c>
      <c r="G12" s="27" t="s">
        <v>711</v>
      </c>
      <c r="H12" s="28">
        <v>1450</v>
      </c>
      <c r="I12" s="38" t="s">
        <v>707</v>
      </c>
      <c r="J12" s="39">
        <v>127</v>
      </c>
      <c r="K12" s="42">
        <f>0.72*0.47*0.62</f>
        <v>0.20980799999999999</v>
      </c>
      <c r="L12" s="41"/>
      <c r="M12" s="79">
        <v>1401.5820000000001</v>
      </c>
    </row>
    <row r="13" spans="2:13" ht="15" thickBot="1">
      <c r="B13" s="13" t="s">
        <v>1310</v>
      </c>
      <c r="C13" s="14">
        <v>7.5</v>
      </c>
      <c r="D13" s="15">
        <v>10</v>
      </c>
      <c r="E13" s="14">
        <v>50</v>
      </c>
      <c r="F13" s="15">
        <v>24.3</v>
      </c>
      <c r="G13" s="27" t="s">
        <v>711</v>
      </c>
      <c r="H13" s="28">
        <v>1450</v>
      </c>
      <c r="I13" s="38" t="s">
        <v>707</v>
      </c>
      <c r="J13" s="39">
        <v>145</v>
      </c>
      <c r="K13" s="42">
        <f>0.72*0.47*0.62</f>
        <v>0.20980799999999999</v>
      </c>
      <c r="L13" s="41"/>
      <c r="M13" s="79">
        <v>1681.8270000000002</v>
      </c>
    </row>
    <row r="14" spans="2:13" ht="15" thickBot="1">
      <c r="B14" s="13" t="s">
        <v>1311</v>
      </c>
      <c r="C14" s="14">
        <v>11</v>
      </c>
      <c r="D14" s="15">
        <v>15</v>
      </c>
      <c r="E14" s="14">
        <v>72</v>
      </c>
      <c r="F14" s="15">
        <v>30.2</v>
      </c>
      <c r="G14" s="27" t="s">
        <v>711</v>
      </c>
      <c r="H14" s="28">
        <v>1450</v>
      </c>
      <c r="I14" s="38" t="s">
        <v>707</v>
      </c>
      <c r="J14" s="39">
        <v>181</v>
      </c>
      <c r="K14" s="42">
        <f>0.89*0.47*0.62</f>
        <v>0.25934600000000002</v>
      </c>
      <c r="L14" s="41"/>
      <c r="M14" s="79">
        <v>2087.0220000000004</v>
      </c>
    </row>
    <row r="15" spans="2:13" ht="15" thickBot="1">
      <c r="B15" s="13" t="s">
        <v>1312</v>
      </c>
      <c r="C15" s="14">
        <v>15</v>
      </c>
      <c r="D15" s="15">
        <v>20</v>
      </c>
      <c r="E15" s="14">
        <v>72</v>
      </c>
      <c r="F15" s="15">
        <v>35.4</v>
      </c>
      <c r="G15" s="27" t="s">
        <v>711</v>
      </c>
      <c r="H15" s="28">
        <v>1450</v>
      </c>
      <c r="I15" s="38" t="s">
        <v>707</v>
      </c>
      <c r="J15" s="39">
        <v>203</v>
      </c>
      <c r="K15" s="42">
        <f>0.89*0.47*0.62</f>
        <v>0.25934600000000002</v>
      </c>
      <c r="L15" s="41"/>
      <c r="M15" s="79">
        <v>2460.087</v>
      </c>
    </row>
    <row r="16" spans="2:13" ht="15" thickBot="1">
      <c r="B16" s="13" t="s">
        <v>1313</v>
      </c>
      <c r="C16" s="14">
        <v>3</v>
      </c>
      <c r="D16" s="15">
        <v>4</v>
      </c>
      <c r="E16" s="14">
        <v>60</v>
      </c>
      <c r="F16" s="15">
        <v>10.1</v>
      </c>
      <c r="G16" s="27" t="s">
        <v>712</v>
      </c>
      <c r="H16" s="28">
        <v>1450</v>
      </c>
      <c r="I16" s="38" t="s">
        <v>707</v>
      </c>
      <c r="J16" s="39">
        <v>78</v>
      </c>
      <c r="K16" s="42">
        <f>0.64*0.39*0.57</f>
        <v>0.14227200000000001</v>
      </c>
      <c r="L16" s="41"/>
      <c r="M16" s="79">
        <v>996.03</v>
      </c>
    </row>
    <row r="17" spans="2:13" ht="15" thickBot="1">
      <c r="B17" s="13" t="s">
        <v>1314</v>
      </c>
      <c r="C17" s="14">
        <v>4</v>
      </c>
      <c r="D17" s="15">
        <v>5.5</v>
      </c>
      <c r="E17" s="14">
        <v>72</v>
      </c>
      <c r="F17" s="15">
        <v>12.4</v>
      </c>
      <c r="G17" s="27" t="s">
        <v>712</v>
      </c>
      <c r="H17" s="28">
        <v>1450</v>
      </c>
      <c r="I17" s="38" t="s">
        <v>707</v>
      </c>
      <c r="J17" s="39">
        <v>94</v>
      </c>
      <c r="K17" s="42">
        <f>0.64*0.39*0.57</f>
        <v>0.14227200000000001</v>
      </c>
      <c r="L17" s="41"/>
      <c r="M17" s="79">
        <v>1088.136</v>
      </c>
    </row>
    <row r="18" spans="2:13" ht="15" thickBot="1">
      <c r="B18" s="13" t="s">
        <v>1315</v>
      </c>
      <c r="C18" s="14">
        <v>5.5</v>
      </c>
      <c r="D18" s="15">
        <v>7.5</v>
      </c>
      <c r="E18" s="14">
        <v>72</v>
      </c>
      <c r="F18" s="15">
        <v>17.2</v>
      </c>
      <c r="G18" s="27" t="s">
        <v>712</v>
      </c>
      <c r="H18" s="28">
        <v>1450</v>
      </c>
      <c r="I18" s="38" t="s">
        <v>707</v>
      </c>
      <c r="J18" s="39">
        <v>115</v>
      </c>
      <c r="K18" s="42">
        <f>0.67*0.44*0.65</f>
        <v>0.19162000000000001</v>
      </c>
      <c r="L18" s="41"/>
      <c r="M18" s="79">
        <v>1601.145</v>
      </c>
    </row>
    <row r="19" spans="2:13" ht="15" thickBot="1">
      <c r="B19" s="13" t="s">
        <v>1316</v>
      </c>
      <c r="C19" s="14">
        <v>7.5</v>
      </c>
      <c r="D19" s="15">
        <v>10</v>
      </c>
      <c r="E19" s="14">
        <v>72</v>
      </c>
      <c r="F19" s="15">
        <v>21.3</v>
      </c>
      <c r="G19" s="27" t="s">
        <v>712</v>
      </c>
      <c r="H19" s="28">
        <v>1450</v>
      </c>
      <c r="I19" s="38" t="s">
        <v>707</v>
      </c>
      <c r="J19" s="39">
        <v>133</v>
      </c>
      <c r="K19" s="42">
        <f>0.67*0.44*0.65</f>
        <v>0.19162000000000001</v>
      </c>
      <c r="L19" s="41"/>
      <c r="M19" s="79">
        <v>1676.115</v>
      </c>
    </row>
    <row r="20" spans="2:13" ht="15" thickBot="1">
      <c r="B20" s="13" t="s">
        <v>1317</v>
      </c>
      <c r="C20" s="14">
        <v>11</v>
      </c>
      <c r="D20" s="15">
        <v>15</v>
      </c>
      <c r="E20" s="14">
        <v>84</v>
      </c>
      <c r="F20" s="15">
        <v>23.9</v>
      </c>
      <c r="G20" s="27" t="s">
        <v>712</v>
      </c>
      <c r="H20" s="28">
        <v>1450</v>
      </c>
      <c r="I20" s="38" t="s">
        <v>707</v>
      </c>
      <c r="J20" s="39">
        <v>171</v>
      </c>
      <c r="K20" s="42">
        <f>0.84*0.44*0.65</f>
        <v>0.24024000000000001</v>
      </c>
      <c r="L20" s="41"/>
      <c r="M20" s="79">
        <v>2158.7790000000005</v>
      </c>
    </row>
    <row r="21" spans="2:13" ht="15" thickBot="1">
      <c r="B21" s="13" t="s">
        <v>1318</v>
      </c>
      <c r="C21" s="14">
        <v>5.5</v>
      </c>
      <c r="D21" s="15">
        <v>7.5</v>
      </c>
      <c r="E21" s="14">
        <v>72</v>
      </c>
      <c r="F21" s="15">
        <v>16.8</v>
      </c>
      <c r="G21" s="27" t="s">
        <v>712</v>
      </c>
      <c r="H21" s="28">
        <v>1450</v>
      </c>
      <c r="I21" s="38" t="s">
        <v>707</v>
      </c>
      <c r="J21" s="39">
        <v>138</v>
      </c>
      <c r="K21" s="42">
        <f>0.72*0.48*0.68</f>
        <v>0.23500799999999999</v>
      </c>
      <c r="L21" s="41"/>
      <c r="M21" s="79">
        <v>1640.415</v>
      </c>
    </row>
    <row r="22" spans="2:13" ht="15" thickBot="1">
      <c r="B22" s="13" t="s">
        <v>1319</v>
      </c>
      <c r="C22" s="14">
        <v>7.5</v>
      </c>
      <c r="D22" s="15">
        <v>10</v>
      </c>
      <c r="E22" s="14">
        <v>72</v>
      </c>
      <c r="F22" s="15">
        <v>21.9</v>
      </c>
      <c r="G22" s="27" t="s">
        <v>712</v>
      </c>
      <c r="H22" s="28">
        <v>1450</v>
      </c>
      <c r="I22" s="38" t="s">
        <v>707</v>
      </c>
      <c r="J22" s="39">
        <v>156</v>
      </c>
      <c r="K22" s="42">
        <f>0.72*0.48*0.68</f>
        <v>0.23500799999999999</v>
      </c>
      <c r="L22" s="41"/>
      <c r="M22" s="79">
        <v>1715.385</v>
      </c>
    </row>
    <row r="23" spans="2:13" ht="15" thickBot="1">
      <c r="B23" s="13" t="s">
        <v>1320</v>
      </c>
      <c r="C23" s="14">
        <v>11</v>
      </c>
      <c r="D23" s="15">
        <v>15</v>
      </c>
      <c r="E23" s="14">
        <v>84</v>
      </c>
      <c r="F23" s="15">
        <v>27</v>
      </c>
      <c r="G23" s="27" t="s">
        <v>712</v>
      </c>
      <c r="H23" s="28">
        <v>1450</v>
      </c>
      <c r="I23" s="38" t="s">
        <v>707</v>
      </c>
      <c r="J23" s="39">
        <v>193</v>
      </c>
      <c r="K23" s="42">
        <f>0.89*0.48*0.68</f>
        <v>0.29049599999999998</v>
      </c>
      <c r="L23" s="41"/>
      <c r="M23" s="79">
        <v>2197.335</v>
      </c>
    </row>
    <row r="24" spans="2:13" ht="15" thickBot="1">
      <c r="B24" s="13" t="s">
        <v>1321</v>
      </c>
      <c r="C24" s="14">
        <v>15</v>
      </c>
      <c r="D24" s="15">
        <v>20</v>
      </c>
      <c r="E24" s="14">
        <v>84</v>
      </c>
      <c r="F24" s="15">
        <v>33.6</v>
      </c>
      <c r="G24" s="27" t="s">
        <v>712</v>
      </c>
      <c r="H24" s="28">
        <v>1450</v>
      </c>
      <c r="I24" s="38" t="s">
        <v>707</v>
      </c>
      <c r="J24" s="39">
        <v>215</v>
      </c>
      <c r="K24" s="42">
        <f>0.89*0.48*0.68</f>
        <v>0.29049599999999998</v>
      </c>
      <c r="L24" s="41"/>
      <c r="M24" s="79">
        <v>2518.9919999999997</v>
      </c>
    </row>
    <row r="25" spans="2:13" ht="15" thickBot="1">
      <c r="B25" s="13" t="s">
        <v>1322</v>
      </c>
      <c r="C25" s="14">
        <v>18.5</v>
      </c>
      <c r="D25" s="15">
        <v>25</v>
      </c>
      <c r="E25" s="14">
        <v>84</v>
      </c>
      <c r="F25" s="15">
        <v>37.299999999999997</v>
      </c>
      <c r="G25" s="27" t="s">
        <v>712</v>
      </c>
      <c r="H25" s="28">
        <v>1450</v>
      </c>
      <c r="I25" s="38" t="s">
        <v>707</v>
      </c>
      <c r="J25" s="39">
        <v>279</v>
      </c>
      <c r="K25" s="42">
        <f>0.93*0.57*0.75</f>
        <v>0.39757500000000001</v>
      </c>
      <c r="L25" s="41"/>
      <c r="M25" s="79">
        <v>2990.232</v>
      </c>
    </row>
    <row r="26" spans="2:13" ht="15" thickBot="1">
      <c r="B26" s="13" t="s">
        <v>1323</v>
      </c>
      <c r="C26" s="14">
        <v>22</v>
      </c>
      <c r="D26" s="15">
        <v>30</v>
      </c>
      <c r="E26" s="14">
        <v>84</v>
      </c>
      <c r="F26" s="15">
        <v>42.6</v>
      </c>
      <c r="G26" s="27" t="s">
        <v>712</v>
      </c>
      <c r="H26" s="28">
        <v>1450</v>
      </c>
      <c r="I26" s="38" t="s">
        <v>707</v>
      </c>
      <c r="J26" s="39">
        <v>300</v>
      </c>
      <c r="K26" s="42">
        <f>0.97*0.57*0.75</f>
        <v>0.41467499999999996</v>
      </c>
      <c r="L26" s="41"/>
      <c r="M26" s="79">
        <v>3312.96</v>
      </c>
    </row>
    <row r="27" spans="2:13" ht="15" thickBot="1">
      <c r="B27" s="13" t="s">
        <v>1324</v>
      </c>
      <c r="C27" s="14">
        <v>30</v>
      </c>
      <c r="D27" s="15">
        <v>40</v>
      </c>
      <c r="E27" s="14">
        <v>84</v>
      </c>
      <c r="F27" s="15">
        <v>53.3</v>
      </c>
      <c r="G27" s="27" t="s">
        <v>712</v>
      </c>
      <c r="H27" s="28">
        <v>1450</v>
      </c>
      <c r="I27" s="38" t="s">
        <v>707</v>
      </c>
      <c r="J27" s="39">
        <v>366</v>
      </c>
      <c r="K27" s="42">
        <f>1.06*0.57*0.75</f>
        <v>0.45314999999999994</v>
      </c>
      <c r="L27" s="41"/>
      <c r="M27" s="79">
        <v>3896.6550000000002</v>
      </c>
    </row>
    <row r="28" spans="2:13" ht="15" thickBot="1">
      <c r="B28" s="13" t="s">
        <v>1325</v>
      </c>
      <c r="C28" s="14">
        <v>4</v>
      </c>
      <c r="D28" s="15">
        <v>5.5</v>
      </c>
      <c r="E28" s="14">
        <v>84</v>
      </c>
      <c r="F28" s="15">
        <v>10.5</v>
      </c>
      <c r="G28" s="27" t="s">
        <v>713</v>
      </c>
      <c r="H28" s="28">
        <v>1450</v>
      </c>
      <c r="I28" s="38" t="s">
        <v>707</v>
      </c>
      <c r="J28" s="39">
        <v>103</v>
      </c>
      <c r="K28" s="42">
        <f>0.67*0.45*0.64</f>
        <v>0.19296000000000002</v>
      </c>
      <c r="L28" s="41"/>
      <c r="M28" s="79">
        <v>1298.7660000000001</v>
      </c>
    </row>
    <row r="29" spans="2:13" ht="15" thickBot="1">
      <c r="B29" s="13" t="s">
        <v>1326</v>
      </c>
      <c r="C29" s="14">
        <v>5.5</v>
      </c>
      <c r="D29" s="15">
        <v>7.5</v>
      </c>
      <c r="E29" s="14">
        <v>108</v>
      </c>
      <c r="F29" s="15">
        <v>11.5</v>
      </c>
      <c r="G29" s="27" t="s">
        <v>713</v>
      </c>
      <c r="H29" s="28">
        <v>1450</v>
      </c>
      <c r="I29" s="38" t="s">
        <v>707</v>
      </c>
      <c r="J29" s="39">
        <v>115</v>
      </c>
      <c r="K29" s="42">
        <f>0.72*0.45*0.64</f>
        <v>0.20736000000000002</v>
      </c>
      <c r="L29" s="41"/>
      <c r="M29" s="79">
        <v>1582.2240000000002</v>
      </c>
    </row>
    <row r="30" spans="2:13" ht="15" thickBot="1">
      <c r="B30" s="13" t="s">
        <v>1327</v>
      </c>
      <c r="C30" s="14">
        <v>7.5</v>
      </c>
      <c r="D30" s="15">
        <v>10</v>
      </c>
      <c r="E30" s="14">
        <v>108</v>
      </c>
      <c r="F30" s="15">
        <v>13</v>
      </c>
      <c r="G30" s="27" t="s">
        <v>713</v>
      </c>
      <c r="H30" s="28">
        <v>1450</v>
      </c>
      <c r="I30" s="38" t="s">
        <v>707</v>
      </c>
      <c r="J30" s="39">
        <v>133</v>
      </c>
      <c r="K30" s="42">
        <f>0.72*0.45*0.64</f>
        <v>0.20736000000000002</v>
      </c>
      <c r="L30" s="41"/>
      <c r="M30" s="79">
        <v>1928.5140000000004</v>
      </c>
    </row>
    <row r="31" spans="2:13" ht="15" thickBot="1">
      <c r="B31" s="13" t="s">
        <v>1328</v>
      </c>
      <c r="C31" s="14">
        <v>5.5</v>
      </c>
      <c r="D31" s="15">
        <v>7.5</v>
      </c>
      <c r="E31" s="14">
        <v>84</v>
      </c>
      <c r="F31" s="15">
        <v>14.4</v>
      </c>
      <c r="G31" s="27" t="s">
        <v>713</v>
      </c>
      <c r="H31" s="28">
        <v>1450</v>
      </c>
      <c r="I31" s="38" t="s">
        <v>707</v>
      </c>
      <c r="J31" s="39">
        <v>124</v>
      </c>
      <c r="K31" s="42">
        <f>0.72*0.48*0.69</f>
        <v>0.23846399999999995</v>
      </c>
      <c r="L31" s="41"/>
      <c r="M31" s="79">
        <v>1645.056</v>
      </c>
    </row>
    <row r="32" spans="2:13" ht="15" thickBot="1">
      <c r="B32" s="13" t="s">
        <v>1329</v>
      </c>
      <c r="C32" s="14">
        <v>7.5</v>
      </c>
      <c r="D32" s="15">
        <v>10</v>
      </c>
      <c r="E32" s="14">
        <v>84</v>
      </c>
      <c r="F32" s="15">
        <v>18.3</v>
      </c>
      <c r="G32" s="27" t="s">
        <v>713</v>
      </c>
      <c r="H32" s="28">
        <v>1450</v>
      </c>
      <c r="I32" s="38" t="s">
        <v>707</v>
      </c>
      <c r="J32" s="39">
        <v>142</v>
      </c>
      <c r="K32" s="42">
        <f>0.72*0.48*0.69</f>
        <v>0.23846399999999995</v>
      </c>
      <c r="L32" s="41"/>
      <c r="M32" s="79">
        <v>2113.797</v>
      </c>
    </row>
    <row r="33" spans="2:14" ht="15" thickBot="1">
      <c r="B33" s="13" t="s">
        <v>1330</v>
      </c>
      <c r="C33" s="14">
        <v>11</v>
      </c>
      <c r="D33" s="15">
        <v>15</v>
      </c>
      <c r="E33" s="14">
        <v>108</v>
      </c>
      <c r="F33" s="15">
        <v>22.1</v>
      </c>
      <c r="G33" s="27" t="s">
        <v>713</v>
      </c>
      <c r="H33" s="28">
        <v>1450</v>
      </c>
      <c r="I33" s="38" t="s">
        <v>707</v>
      </c>
      <c r="J33" s="39">
        <v>179</v>
      </c>
      <c r="K33" s="42">
        <f>0.89*0.48*0.69</f>
        <v>0.29476799999999997</v>
      </c>
      <c r="L33" s="41"/>
      <c r="M33" s="79">
        <v>2353.7009999999996</v>
      </c>
    </row>
    <row r="34" spans="2:14" ht="15" thickBot="1">
      <c r="B34" s="13" t="s">
        <v>1331</v>
      </c>
      <c r="C34" s="14">
        <v>15</v>
      </c>
      <c r="D34" s="15">
        <v>20</v>
      </c>
      <c r="E34" s="14">
        <v>108</v>
      </c>
      <c r="F34" s="15">
        <v>25.6</v>
      </c>
      <c r="G34" s="27" t="s">
        <v>713</v>
      </c>
      <c r="H34" s="28">
        <v>1450</v>
      </c>
      <c r="I34" s="38" t="s">
        <v>707</v>
      </c>
      <c r="J34" s="39">
        <v>201</v>
      </c>
      <c r="K34" s="42">
        <f>0.89*0.48*0.69</f>
        <v>0.29476799999999997</v>
      </c>
      <c r="L34" s="41"/>
      <c r="M34" s="79">
        <v>2531.13</v>
      </c>
    </row>
    <row r="35" spans="2:14" ht="15" thickBot="1">
      <c r="B35" s="13" t="s">
        <v>1332</v>
      </c>
      <c r="C35" s="14">
        <v>15</v>
      </c>
      <c r="D35" s="15">
        <v>20</v>
      </c>
      <c r="E35" s="14">
        <v>108</v>
      </c>
      <c r="F35" s="15">
        <v>25.6</v>
      </c>
      <c r="G35" s="27" t="s">
        <v>713</v>
      </c>
      <c r="H35" s="28">
        <v>1450</v>
      </c>
      <c r="I35" s="38" t="s">
        <v>707</v>
      </c>
      <c r="J35" s="39">
        <v>218</v>
      </c>
      <c r="K35" s="42">
        <f>0.92*0.51*0.74</f>
        <v>0.34720800000000002</v>
      </c>
      <c r="L35" s="41"/>
      <c r="M35" s="79">
        <v>2499.357</v>
      </c>
    </row>
    <row r="36" spans="2:14" ht="15" thickBot="1">
      <c r="B36" s="13" t="s">
        <v>1333</v>
      </c>
      <c r="C36" s="14">
        <v>18.5</v>
      </c>
      <c r="D36" s="15">
        <v>25</v>
      </c>
      <c r="E36" s="14">
        <v>108</v>
      </c>
      <c r="F36" s="15">
        <v>28.6</v>
      </c>
      <c r="G36" s="27" t="s">
        <v>713</v>
      </c>
      <c r="H36" s="28">
        <v>1450</v>
      </c>
      <c r="I36" s="38" t="s">
        <v>707</v>
      </c>
      <c r="J36" s="39">
        <v>259</v>
      </c>
      <c r="K36" s="42">
        <f>0.96*0.51*0.74</f>
        <v>0.36230399999999996</v>
      </c>
      <c r="L36" s="41"/>
      <c r="M36" s="79">
        <v>3101.2590000000005</v>
      </c>
    </row>
    <row r="37" spans="2:14" ht="15" thickBot="1">
      <c r="B37" s="13" t="s">
        <v>1334</v>
      </c>
      <c r="C37" s="14">
        <v>22</v>
      </c>
      <c r="D37" s="15">
        <v>30</v>
      </c>
      <c r="E37" s="14">
        <v>140</v>
      </c>
      <c r="F37" s="15">
        <v>30</v>
      </c>
      <c r="G37" s="27" t="s">
        <v>713</v>
      </c>
      <c r="H37" s="28">
        <v>1450</v>
      </c>
      <c r="I37" s="38" t="s">
        <v>707</v>
      </c>
      <c r="J37" s="39">
        <v>280</v>
      </c>
      <c r="K37" s="42">
        <f>1*0.51*0.74</f>
        <v>0.37740000000000001</v>
      </c>
      <c r="L37" s="41"/>
      <c r="M37" s="79">
        <v>3345.4470000000001</v>
      </c>
    </row>
    <row r="38" spans="2:14" ht="15" thickBot="1">
      <c r="B38" s="13" t="s">
        <v>1335</v>
      </c>
      <c r="C38" s="14">
        <v>30</v>
      </c>
      <c r="D38" s="15">
        <v>40</v>
      </c>
      <c r="E38" s="14">
        <v>140</v>
      </c>
      <c r="F38" s="15">
        <v>33.200000000000003</v>
      </c>
      <c r="G38" s="27" t="s">
        <v>713</v>
      </c>
      <c r="H38" s="28">
        <v>1450</v>
      </c>
      <c r="I38" s="38" t="s">
        <v>707</v>
      </c>
      <c r="J38" s="39">
        <v>346</v>
      </c>
      <c r="K38" s="42">
        <f>1.09*0.51*0.74</f>
        <v>0.41136600000000006</v>
      </c>
      <c r="L38" s="41"/>
      <c r="M38" s="79">
        <v>3785.6280000000006</v>
      </c>
    </row>
    <row r="39" spans="2:14" ht="16.5" thickBot="1">
      <c r="B39" s="212" t="s">
        <v>1336</v>
      </c>
      <c r="C39" s="213">
        <v>30</v>
      </c>
      <c r="D39" s="214">
        <v>40</v>
      </c>
      <c r="E39" s="213">
        <v>108</v>
      </c>
      <c r="F39" s="214">
        <v>44</v>
      </c>
      <c r="G39" s="215" t="s">
        <v>713</v>
      </c>
      <c r="H39" s="216">
        <v>1450</v>
      </c>
      <c r="I39" s="217" t="s">
        <v>707</v>
      </c>
      <c r="J39" s="218">
        <v>382</v>
      </c>
      <c r="K39" s="219">
        <f>1.09*0.58*0.77</f>
        <v>0.486794</v>
      </c>
      <c r="L39" s="220"/>
      <c r="M39" s="237">
        <v>3903.7950000000001</v>
      </c>
      <c r="N39" s="221" t="s">
        <v>2972</v>
      </c>
    </row>
    <row r="40" spans="2:14" ht="16.5" thickBot="1">
      <c r="B40" s="212" t="s">
        <v>1337</v>
      </c>
      <c r="C40" s="213">
        <v>37</v>
      </c>
      <c r="D40" s="214">
        <v>50</v>
      </c>
      <c r="E40" s="213">
        <v>108</v>
      </c>
      <c r="F40" s="214">
        <v>49.5</v>
      </c>
      <c r="G40" s="215" t="s">
        <v>713</v>
      </c>
      <c r="H40" s="216">
        <v>1450</v>
      </c>
      <c r="I40" s="217" t="s">
        <v>707</v>
      </c>
      <c r="J40" s="218">
        <v>425</v>
      </c>
      <c r="K40" s="219">
        <f>1.09*0.58*0.77</f>
        <v>0.486794</v>
      </c>
      <c r="L40" s="220"/>
      <c r="M40" s="237">
        <v>4644.57</v>
      </c>
      <c r="N40" s="221" t="s">
        <v>2972</v>
      </c>
    </row>
    <row r="41" spans="2:14" ht="16.5" thickBot="1">
      <c r="B41" s="212" t="s">
        <v>1338</v>
      </c>
      <c r="C41" s="213">
        <v>45</v>
      </c>
      <c r="D41" s="214">
        <v>60</v>
      </c>
      <c r="E41" s="213">
        <v>140</v>
      </c>
      <c r="F41" s="214">
        <v>53</v>
      </c>
      <c r="G41" s="215" t="s">
        <v>713</v>
      </c>
      <c r="H41" s="216">
        <v>1450</v>
      </c>
      <c r="I41" s="217" t="s">
        <v>707</v>
      </c>
      <c r="J41" s="218">
        <v>453</v>
      </c>
      <c r="K41" s="219">
        <f>1.13*0.58*0.77</f>
        <v>0.50465799999999994</v>
      </c>
      <c r="L41" s="220"/>
      <c r="M41" s="237">
        <v>5069.0430000000006</v>
      </c>
      <c r="N41" s="221" t="s">
        <v>2972</v>
      </c>
    </row>
    <row r="42" spans="2:14" ht="15" thickBot="1">
      <c r="B42" s="13" t="s">
        <v>1339</v>
      </c>
      <c r="C42" s="14">
        <v>5.5</v>
      </c>
      <c r="D42" s="15">
        <v>7.5</v>
      </c>
      <c r="E42" s="14">
        <v>140</v>
      </c>
      <c r="F42" s="15">
        <v>8.9</v>
      </c>
      <c r="G42" s="27" t="s">
        <v>714</v>
      </c>
      <c r="H42" s="28">
        <v>1450</v>
      </c>
      <c r="I42" s="38" t="s">
        <v>707</v>
      </c>
      <c r="J42" s="39">
        <v>123</v>
      </c>
      <c r="K42" s="42">
        <f>0.75*0.45*0.68</f>
        <v>0.22950000000000004</v>
      </c>
      <c r="L42" s="41"/>
      <c r="M42" s="79">
        <v>1645.056</v>
      </c>
    </row>
    <row r="43" spans="2:14" ht="15" thickBot="1">
      <c r="B43" s="13" t="s">
        <v>1340</v>
      </c>
      <c r="C43" s="14">
        <v>7.5</v>
      </c>
      <c r="D43" s="15">
        <v>10</v>
      </c>
      <c r="E43" s="14">
        <v>140</v>
      </c>
      <c r="F43" s="15">
        <v>11.9</v>
      </c>
      <c r="G43" s="27" t="s">
        <v>714</v>
      </c>
      <c r="H43" s="28">
        <v>1450</v>
      </c>
      <c r="I43" s="38" t="s">
        <v>707</v>
      </c>
      <c r="J43" s="39">
        <v>141</v>
      </c>
      <c r="K43" s="42">
        <f>0.75*0.45*0.68</f>
        <v>0.22950000000000004</v>
      </c>
      <c r="L43" s="41"/>
      <c r="M43" s="79">
        <v>2113.797</v>
      </c>
    </row>
    <row r="44" spans="2:14" ht="15" thickBot="1">
      <c r="B44" s="13" t="s">
        <v>1341</v>
      </c>
      <c r="C44" s="14">
        <v>11</v>
      </c>
      <c r="D44" s="15">
        <v>15</v>
      </c>
      <c r="E44" s="14">
        <v>150</v>
      </c>
      <c r="F44" s="15">
        <v>15.6</v>
      </c>
      <c r="G44" s="27" t="s">
        <v>714</v>
      </c>
      <c r="H44" s="28">
        <v>1450</v>
      </c>
      <c r="I44" s="38" t="s">
        <v>707</v>
      </c>
      <c r="J44" s="39">
        <v>190</v>
      </c>
      <c r="K44" s="42">
        <f>0.92*0.45*0.68</f>
        <v>0.28152000000000005</v>
      </c>
      <c r="L44" s="41"/>
      <c r="M44" s="79">
        <v>2361.5549999999998</v>
      </c>
    </row>
    <row r="45" spans="2:14" ht="15" thickBot="1">
      <c r="B45" s="13" t="s">
        <v>1342</v>
      </c>
      <c r="C45" s="14">
        <v>7.5</v>
      </c>
      <c r="D45" s="15">
        <v>10</v>
      </c>
      <c r="E45" s="14">
        <v>100</v>
      </c>
      <c r="F45" s="15">
        <v>14.8</v>
      </c>
      <c r="G45" s="27" t="s">
        <v>714</v>
      </c>
      <c r="H45" s="28">
        <v>1450</v>
      </c>
      <c r="I45" s="38" t="s">
        <v>707</v>
      </c>
      <c r="J45" s="39">
        <v>157</v>
      </c>
      <c r="K45" s="42">
        <f>0.75*0.53*0.72</f>
        <v>0.28620000000000001</v>
      </c>
      <c r="L45" s="41"/>
      <c r="M45" s="79">
        <v>2164.848</v>
      </c>
    </row>
    <row r="46" spans="2:14" ht="15" thickBot="1">
      <c r="B46" s="13" t="s">
        <v>1343</v>
      </c>
      <c r="C46" s="14">
        <v>11</v>
      </c>
      <c r="D46" s="15">
        <v>15</v>
      </c>
      <c r="E46" s="14">
        <v>150</v>
      </c>
      <c r="F46" s="15">
        <v>17.8</v>
      </c>
      <c r="G46" s="27" t="s">
        <v>714</v>
      </c>
      <c r="H46" s="28">
        <v>1450</v>
      </c>
      <c r="I46" s="38" t="s">
        <v>707</v>
      </c>
      <c r="J46" s="39">
        <v>195</v>
      </c>
      <c r="K46" s="42">
        <f>0.92*0.53*0.72</f>
        <v>0.351072</v>
      </c>
      <c r="L46" s="41"/>
      <c r="M46" s="79">
        <v>2420.817</v>
      </c>
    </row>
    <row r="47" spans="2:14" ht="15" thickBot="1">
      <c r="B47" s="13" t="s">
        <v>1344</v>
      </c>
      <c r="C47" s="14">
        <v>15</v>
      </c>
      <c r="D47" s="15">
        <v>20</v>
      </c>
      <c r="E47" s="14">
        <v>200</v>
      </c>
      <c r="F47" s="15">
        <v>19.8</v>
      </c>
      <c r="G47" s="27" t="s">
        <v>714</v>
      </c>
      <c r="H47" s="28">
        <v>1450</v>
      </c>
      <c r="I47" s="38" t="s">
        <v>707</v>
      </c>
      <c r="J47" s="39">
        <v>217</v>
      </c>
      <c r="K47" s="42">
        <f>0.92*0.53*0.72</f>
        <v>0.351072</v>
      </c>
      <c r="L47" s="41"/>
      <c r="M47" s="79">
        <v>2664.6480000000001</v>
      </c>
    </row>
    <row r="48" spans="2:14" ht="15" thickBot="1">
      <c r="B48" s="13" t="s">
        <v>1345</v>
      </c>
      <c r="C48" s="14">
        <v>18.5</v>
      </c>
      <c r="D48" s="15">
        <v>25</v>
      </c>
      <c r="E48" s="14">
        <v>200</v>
      </c>
      <c r="F48" s="15">
        <v>23</v>
      </c>
      <c r="G48" s="27" t="s">
        <v>714</v>
      </c>
      <c r="H48" s="28">
        <v>1450</v>
      </c>
      <c r="I48" s="38" t="s">
        <v>707</v>
      </c>
      <c r="J48" s="39">
        <v>258</v>
      </c>
      <c r="K48" s="42">
        <f>0.96*0.53*0.72</f>
        <v>0.36633599999999999</v>
      </c>
      <c r="L48" s="41"/>
      <c r="M48" s="79">
        <v>3086.2649999999999</v>
      </c>
    </row>
    <row r="49" spans="2:13" ht="15" thickBot="1">
      <c r="B49" s="13" t="s">
        <v>1346</v>
      </c>
      <c r="C49" s="14">
        <v>18.5</v>
      </c>
      <c r="D49" s="15">
        <v>25</v>
      </c>
      <c r="E49" s="14">
        <v>200</v>
      </c>
      <c r="F49" s="15">
        <v>23.3</v>
      </c>
      <c r="G49" s="27" t="s">
        <v>714</v>
      </c>
      <c r="H49" s="28">
        <v>1450</v>
      </c>
      <c r="I49" s="38" t="s">
        <v>707</v>
      </c>
      <c r="J49" s="39">
        <v>280</v>
      </c>
      <c r="K49" s="42">
        <f>0.96*0.56*0.75</f>
        <v>0.40320000000000006</v>
      </c>
      <c r="L49" s="41"/>
      <c r="M49" s="79">
        <v>3232.2780000000002</v>
      </c>
    </row>
    <row r="50" spans="2:13" ht="15" thickBot="1">
      <c r="B50" s="13" t="s">
        <v>1347</v>
      </c>
      <c r="C50" s="14">
        <v>22</v>
      </c>
      <c r="D50" s="15">
        <v>30</v>
      </c>
      <c r="E50" s="14">
        <v>200</v>
      </c>
      <c r="F50" s="15">
        <v>26.5</v>
      </c>
      <c r="G50" s="27" t="s">
        <v>714</v>
      </c>
      <c r="H50" s="28">
        <v>1450</v>
      </c>
      <c r="I50" s="38" t="s">
        <v>707</v>
      </c>
      <c r="J50" s="39">
        <v>301</v>
      </c>
      <c r="K50" s="42">
        <f>1*0.56*0.75</f>
        <v>0.42000000000000004</v>
      </c>
      <c r="L50" s="41"/>
      <c r="M50" s="79">
        <v>3443.9790000000003</v>
      </c>
    </row>
    <row r="51" spans="2:13" ht="15" thickBot="1">
      <c r="B51" s="13" t="s">
        <v>1348</v>
      </c>
      <c r="C51" s="14">
        <v>30</v>
      </c>
      <c r="D51" s="15">
        <v>40</v>
      </c>
      <c r="E51" s="14">
        <v>200</v>
      </c>
      <c r="F51" s="15">
        <v>32.9</v>
      </c>
      <c r="G51" s="27" t="s">
        <v>714</v>
      </c>
      <c r="H51" s="28">
        <v>1450</v>
      </c>
      <c r="I51" s="38" t="s">
        <v>707</v>
      </c>
      <c r="J51" s="39">
        <v>367</v>
      </c>
      <c r="K51" s="42">
        <f>1.09*0.56*0.75</f>
        <v>0.45780000000000004</v>
      </c>
      <c r="L51" s="41"/>
      <c r="M51" s="79">
        <v>3854.1719999999996</v>
      </c>
    </row>
    <row r="52" spans="2:13" ht="15" thickBot="1">
      <c r="B52" s="13" t="s">
        <v>1349</v>
      </c>
      <c r="C52" s="14">
        <v>37</v>
      </c>
      <c r="D52" s="15">
        <v>50</v>
      </c>
      <c r="E52" s="14">
        <v>250</v>
      </c>
      <c r="F52" s="15">
        <v>33.1</v>
      </c>
      <c r="G52" s="27" t="s">
        <v>714</v>
      </c>
      <c r="H52" s="28">
        <v>1450</v>
      </c>
      <c r="I52" s="38" t="s">
        <v>707</v>
      </c>
      <c r="J52" s="39">
        <v>410</v>
      </c>
      <c r="K52" s="42">
        <f>1.09*0.56*0.75</f>
        <v>0.45780000000000004</v>
      </c>
      <c r="L52" s="41"/>
      <c r="M52" s="79">
        <v>4526.4030000000002</v>
      </c>
    </row>
    <row r="53" spans="2:13" ht="15" thickBot="1">
      <c r="B53" s="13" t="s">
        <v>1350</v>
      </c>
      <c r="C53" s="14">
        <v>11</v>
      </c>
      <c r="D53" s="15">
        <v>15</v>
      </c>
      <c r="E53" s="14">
        <v>250</v>
      </c>
      <c r="F53" s="15">
        <v>12.9</v>
      </c>
      <c r="G53" s="27" t="s">
        <v>715</v>
      </c>
      <c r="H53" s="28">
        <v>1450</v>
      </c>
      <c r="I53" s="38" t="s">
        <v>707</v>
      </c>
      <c r="J53" s="39">
        <v>222</v>
      </c>
      <c r="K53" s="42">
        <f>0.96*0.47*0.79</f>
        <v>0.35644799999999999</v>
      </c>
      <c r="L53" s="41"/>
      <c r="M53" s="79">
        <v>2774.9609999999998</v>
      </c>
    </row>
    <row r="54" spans="2:13" ht="15" thickBot="1">
      <c r="B54" s="13" t="s">
        <v>1351</v>
      </c>
      <c r="C54" s="14">
        <v>15</v>
      </c>
      <c r="D54" s="15">
        <v>20</v>
      </c>
      <c r="E54" s="14">
        <v>250</v>
      </c>
      <c r="F54" s="15">
        <v>14.3</v>
      </c>
      <c r="G54" s="27" t="s">
        <v>715</v>
      </c>
      <c r="H54" s="28">
        <v>1450</v>
      </c>
      <c r="I54" s="38" t="s">
        <v>707</v>
      </c>
      <c r="J54" s="39">
        <v>244</v>
      </c>
      <c r="K54" s="42">
        <f>0.96*0.47*0.79</f>
        <v>0.35644799999999999</v>
      </c>
      <c r="L54" s="41"/>
      <c r="M54" s="79">
        <v>3070.2000000000003</v>
      </c>
    </row>
    <row r="55" spans="2:13" ht="15" thickBot="1">
      <c r="B55" s="13" t="s">
        <v>1352</v>
      </c>
      <c r="C55" s="14">
        <v>18.5</v>
      </c>
      <c r="D55" s="15">
        <v>25</v>
      </c>
      <c r="E55" s="14">
        <v>300</v>
      </c>
      <c r="F55" s="15">
        <v>15.5</v>
      </c>
      <c r="G55" s="27" t="s">
        <v>715</v>
      </c>
      <c r="H55" s="28">
        <v>1450</v>
      </c>
      <c r="I55" s="38" t="s">
        <v>707</v>
      </c>
      <c r="J55" s="39">
        <v>285</v>
      </c>
      <c r="K55" s="42">
        <f>1*0.47*0.79</f>
        <v>0.37130000000000002</v>
      </c>
      <c r="L55" s="41"/>
      <c r="M55" s="79">
        <v>3428.9850000000001</v>
      </c>
    </row>
    <row r="56" spans="2:13" ht="15" thickBot="1">
      <c r="B56" s="13" t="s">
        <v>1353</v>
      </c>
      <c r="C56" s="14">
        <v>22</v>
      </c>
      <c r="D56" s="15">
        <v>30</v>
      </c>
      <c r="E56" s="14">
        <v>300</v>
      </c>
      <c r="F56" s="15">
        <v>17.5</v>
      </c>
      <c r="G56" s="27" t="s">
        <v>715</v>
      </c>
      <c r="H56" s="28">
        <v>1450</v>
      </c>
      <c r="I56" s="38" t="s">
        <v>707</v>
      </c>
      <c r="J56" s="39">
        <v>306</v>
      </c>
      <c r="K56" s="42">
        <f>1.04*0.47*0.79</f>
        <v>0.38615200000000005</v>
      </c>
      <c r="L56" s="41"/>
      <c r="M56" s="79">
        <v>3641.0430000000001</v>
      </c>
    </row>
    <row r="57" spans="2:13" ht="15" thickBot="1">
      <c r="B57" s="13" t="s">
        <v>1354</v>
      </c>
      <c r="C57" s="14">
        <v>15</v>
      </c>
      <c r="D57" s="15">
        <v>20</v>
      </c>
      <c r="E57" s="14">
        <v>250</v>
      </c>
      <c r="F57" s="15">
        <v>14.7</v>
      </c>
      <c r="G57" s="27" t="s">
        <v>715</v>
      </c>
      <c r="H57" s="28">
        <v>1450</v>
      </c>
      <c r="I57" s="38" t="s">
        <v>707</v>
      </c>
      <c r="J57" s="39">
        <v>256</v>
      </c>
      <c r="K57" s="42">
        <f>0.96*0.54*0.83</f>
        <v>0.43027199999999993</v>
      </c>
      <c r="L57" s="41"/>
      <c r="M57" s="79">
        <v>3070.2000000000003</v>
      </c>
    </row>
    <row r="58" spans="2:13" ht="15" thickBot="1">
      <c r="B58" s="13" t="s">
        <v>1355</v>
      </c>
      <c r="C58" s="14">
        <v>18.5</v>
      </c>
      <c r="D58" s="15">
        <v>25</v>
      </c>
      <c r="E58" s="14">
        <v>300</v>
      </c>
      <c r="F58" s="15">
        <v>17.5</v>
      </c>
      <c r="G58" s="27" t="s">
        <v>715</v>
      </c>
      <c r="H58" s="28">
        <v>1450</v>
      </c>
      <c r="I58" s="38" t="s">
        <v>707</v>
      </c>
      <c r="J58" s="39">
        <v>297</v>
      </c>
      <c r="K58" s="42">
        <f>1*0.54*0.83</f>
        <v>0.44819999999999999</v>
      </c>
      <c r="L58" s="41"/>
      <c r="M58" s="79">
        <v>3428.9850000000001</v>
      </c>
    </row>
    <row r="59" spans="2:13" ht="15" thickBot="1">
      <c r="B59" s="13" t="s">
        <v>1356</v>
      </c>
      <c r="C59" s="14">
        <v>22</v>
      </c>
      <c r="D59" s="15">
        <v>30</v>
      </c>
      <c r="E59" s="14">
        <v>300</v>
      </c>
      <c r="F59" s="15">
        <v>20.8</v>
      </c>
      <c r="G59" s="27" t="s">
        <v>715</v>
      </c>
      <c r="H59" s="28">
        <v>1450</v>
      </c>
      <c r="I59" s="38" t="s">
        <v>707</v>
      </c>
      <c r="J59" s="39">
        <v>319</v>
      </c>
      <c r="K59" s="42">
        <f>1.04*0.54*0.83</f>
        <v>0.46612800000000004</v>
      </c>
      <c r="L59" s="41"/>
      <c r="M59" s="79">
        <v>3680.3130000000006</v>
      </c>
    </row>
    <row r="60" spans="2:13" ht="15" thickBot="1">
      <c r="B60" s="13" t="s">
        <v>1357</v>
      </c>
      <c r="C60" s="14">
        <v>30</v>
      </c>
      <c r="D60" s="15">
        <v>40</v>
      </c>
      <c r="E60" s="14">
        <v>300</v>
      </c>
      <c r="F60" s="15">
        <v>22</v>
      </c>
      <c r="G60" s="27" t="s">
        <v>715</v>
      </c>
      <c r="H60" s="28">
        <v>1450</v>
      </c>
      <c r="I60" s="38" t="s">
        <v>707</v>
      </c>
      <c r="J60" s="39">
        <v>384</v>
      </c>
      <c r="K60" s="42">
        <f>1.13*0.54*0.83</f>
        <v>0.50646599999999997</v>
      </c>
      <c r="L60" s="41"/>
      <c r="M60" s="79">
        <v>3778.4880000000007</v>
      </c>
    </row>
    <row r="61" spans="2:13" ht="15" thickBot="1">
      <c r="B61" s="13" t="s">
        <v>1358</v>
      </c>
      <c r="C61" s="14">
        <v>37</v>
      </c>
      <c r="D61" s="15">
        <v>50</v>
      </c>
      <c r="E61" s="14">
        <v>300</v>
      </c>
      <c r="F61" s="15">
        <v>30.4</v>
      </c>
      <c r="G61" s="27" t="s">
        <v>715</v>
      </c>
      <c r="H61" s="28">
        <v>1450</v>
      </c>
      <c r="I61" s="38" t="s">
        <v>707</v>
      </c>
      <c r="J61" s="39">
        <v>434</v>
      </c>
      <c r="K61" s="42">
        <f>1.13*0.58*0.85</f>
        <v>0.55708999999999986</v>
      </c>
      <c r="L61" s="41"/>
      <c r="M61" s="79">
        <v>4683.84</v>
      </c>
    </row>
    <row r="62" spans="2:13" ht="15" thickBot="1">
      <c r="B62" s="13" t="s">
        <v>1359</v>
      </c>
      <c r="C62" s="14">
        <v>45</v>
      </c>
      <c r="D62" s="15">
        <v>60</v>
      </c>
      <c r="E62" s="14">
        <v>300</v>
      </c>
      <c r="F62" s="15">
        <v>34.700000000000003</v>
      </c>
      <c r="G62" s="27" t="s">
        <v>715</v>
      </c>
      <c r="H62" s="28">
        <v>1450</v>
      </c>
      <c r="I62" s="38" t="s">
        <v>707</v>
      </c>
      <c r="J62" s="39">
        <v>462</v>
      </c>
      <c r="K62" s="42">
        <f>1.17*0.58*0.85</f>
        <v>0.57680999999999982</v>
      </c>
      <c r="L62" s="103"/>
      <c r="M62" s="236">
        <v>6282.1289999999999</v>
      </c>
    </row>
    <row r="63" spans="2:13" ht="15" thickBot="1">
      <c r="B63" s="13" t="s">
        <v>1360</v>
      </c>
      <c r="C63" s="14">
        <v>55</v>
      </c>
      <c r="D63" s="15">
        <v>75</v>
      </c>
      <c r="E63" s="14">
        <v>300</v>
      </c>
      <c r="F63" s="15">
        <v>37.200000000000003</v>
      </c>
      <c r="G63" s="27" t="s">
        <v>715</v>
      </c>
      <c r="H63" s="28">
        <v>1450</v>
      </c>
      <c r="I63" s="38" t="s">
        <v>707</v>
      </c>
      <c r="J63" s="39">
        <v>554</v>
      </c>
      <c r="K63" s="42">
        <f>1.26*0.58*0.85</f>
        <v>0.62117999999999995</v>
      </c>
      <c r="L63" s="328" t="s">
        <v>1260</v>
      </c>
      <c r="M63" s="329"/>
    </row>
    <row r="64" spans="2:13" ht="15" thickBot="1">
      <c r="B64" s="13" t="s">
        <v>1361</v>
      </c>
      <c r="C64" s="14">
        <v>75</v>
      </c>
      <c r="D64" s="15">
        <v>100</v>
      </c>
      <c r="E64" s="14">
        <v>400</v>
      </c>
      <c r="F64" s="15">
        <v>40.9</v>
      </c>
      <c r="G64" s="27" t="s">
        <v>715</v>
      </c>
      <c r="H64" s="28">
        <v>1450</v>
      </c>
      <c r="I64" s="38" t="s">
        <v>707</v>
      </c>
      <c r="J64" s="39">
        <v>685</v>
      </c>
      <c r="K64" s="42">
        <f>1.33*0.58*0.85</f>
        <v>0.65569</v>
      </c>
      <c r="L64" s="330"/>
      <c r="M64" s="331"/>
    </row>
    <row r="65" spans="2:14" ht="16.5" thickBot="1">
      <c r="B65" s="212" t="s">
        <v>1362</v>
      </c>
      <c r="C65" s="213">
        <v>55</v>
      </c>
      <c r="D65" s="214">
        <v>75</v>
      </c>
      <c r="E65" s="213">
        <v>300</v>
      </c>
      <c r="F65" s="214">
        <v>42</v>
      </c>
      <c r="G65" s="215" t="s">
        <v>715</v>
      </c>
      <c r="H65" s="216">
        <v>1450</v>
      </c>
      <c r="I65" s="217" t="s">
        <v>707</v>
      </c>
      <c r="J65" s="218">
        <v>582</v>
      </c>
      <c r="K65" s="219">
        <f>1.26*0.65*0.88</f>
        <v>0.72072000000000003</v>
      </c>
      <c r="L65" s="330"/>
      <c r="M65" s="331"/>
      <c r="N65" s="221" t="s">
        <v>2972</v>
      </c>
    </row>
    <row r="66" spans="2:14" ht="16.5" thickBot="1">
      <c r="B66" s="212" t="s">
        <v>1363</v>
      </c>
      <c r="C66" s="213">
        <v>75</v>
      </c>
      <c r="D66" s="214">
        <v>100</v>
      </c>
      <c r="E66" s="213">
        <v>400</v>
      </c>
      <c r="F66" s="214">
        <v>47</v>
      </c>
      <c r="G66" s="215" t="s">
        <v>715</v>
      </c>
      <c r="H66" s="216">
        <v>1450</v>
      </c>
      <c r="I66" s="217" t="s">
        <v>707</v>
      </c>
      <c r="J66" s="218">
        <v>713</v>
      </c>
      <c r="K66" s="219">
        <f>1.33*0.65*0.88</f>
        <v>0.76075999999999999</v>
      </c>
      <c r="L66" s="330"/>
      <c r="M66" s="331"/>
      <c r="N66" s="221" t="s">
        <v>2972</v>
      </c>
    </row>
    <row r="67" spans="2:14" ht="16.5" thickBot="1">
      <c r="B67" s="212" t="s">
        <v>1364</v>
      </c>
      <c r="C67" s="213">
        <v>90</v>
      </c>
      <c r="D67" s="214">
        <v>125</v>
      </c>
      <c r="E67" s="213">
        <v>400</v>
      </c>
      <c r="F67" s="214">
        <v>52</v>
      </c>
      <c r="G67" s="215" t="s">
        <v>715</v>
      </c>
      <c r="H67" s="216">
        <v>1450</v>
      </c>
      <c r="I67" s="217" t="s">
        <v>707</v>
      </c>
      <c r="J67" s="218">
        <v>807</v>
      </c>
      <c r="K67" s="219">
        <f>1.38*0.65*0.88</f>
        <v>0.78935999999999995</v>
      </c>
      <c r="L67" s="330"/>
      <c r="M67" s="331"/>
      <c r="N67" s="221" t="s">
        <v>2972</v>
      </c>
    </row>
    <row r="68" spans="2:14" ht="16.5" thickBot="1">
      <c r="B68" s="212" t="s">
        <v>1365</v>
      </c>
      <c r="C68" s="213">
        <v>110</v>
      </c>
      <c r="D68" s="214">
        <v>150</v>
      </c>
      <c r="E68" s="213">
        <v>400</v>
      </c>
      <c r="F68" s="214">
        <v>58</v>
      </c>
      <c r="G68" s="215" t="s">
        <v>715</v>
      </c>
      <c r="H68" s="216">
        <v>1450</v>
      </c>
      <c r="I68" s="217" t="s">
        <v>707</v>
      </c>
      <c r="J68" s="218">
        <v>1115</v>
      </c>
      <c r="K68" s="219">
        <f>1.54*0.65*0.88</f>
        <v>0.88088000000000011</v>
      </c>
      <c r="L68" s="330"/>
      <c r="M68" s="331"/>
      <c r="N68" s="221" t="s">
        <v>2972</v>
      </c>
    </row>
    <row r="69" spans="2:14" ht="16.5" thickBot="1">
      <c r="B69" s="212" t="s">
        <v>1366</v>
      </c>
      <c r="C69" s="213">
        <v>132</v>
      </c>
      <c r="D69" s="214">
        <v>180</v>
      </c>
      <c r="E69" s="213">
        <v>400</v>
      </c>
      <c r="F69" s="214">
        <v>64.5</v>
      </c>
      <c r="G69" s="215" t="s">
        <v>715</v>
      </c>
      <c r="H69" s="216">
        <v>1450</v>
      </c>
      <c r="I69" s="217" t="s">
        <v>707</v>
      </c>
      <c r="J69" s="218">
        <v>1213</v>
      </c>
      <c r="K69" s="219">
        <f>1.65*0.65*0.88</f>
        <v>0.94379999999999997</v>
      </c>
      <c r="L69" s="332"/>
      <c r="M69" s="333"/>
      <c r="N69" s="221" t="s">
        <v>2972</v>
      </c>
    </row>
    <row r="70" spans="2:14" ht="23.25" thickBot="1">
      <c r="B70" s="8"/>
      <c r="C70" s="8"/>
      <c r="D70" s="8"/>
      <c r="E70" s="8"/>
      <c r="F70" s="8"/>
      <c r="G70" s="8"/>
      <c r="H70" s="1"/>
      <c r="I70" s="8"/>
      <c r="J70" s="1"/>
      <c r="K70" s="1"/>
      <c r="L70" s="8"/>
      <c r="M70" s="8"/>
    </row>
    <row r="71" spans="2:14" ht="15">
      <c r="B71" s="44" t="s">
        <v>1375</v>
      </c>
      <c r="C71" s="45" t="s">
        <v>1387</v>
      </c>
      <c r="D71" s="46"/>
      <c r="E71" s="51"/>
      <c r="F71" s="51"/>
      <c r="G71" s="51"/>
      <c r="H71" s="51"/>
      <c r="I71" s="51"/>
      <c r="J71" s="51"/>
      <c r="K71" s="51"/>
      <c r="L71" s="51"/>
      <c r="M71" s="51"/>
    </row>
    <row r="72" spans="2:14" ht="15">
      <c r="B72" s="47" t="s">
        <v>1374</v>
      </c>
      <c r="C72" s="48" t="s">
        <v>1388</v>
      </c>
      <c r="D72" s="49"/>
      <c r="E72" s="52"/>
      <c r="F72" s="52"/>
      <c r="G72" s="52"/>
      <c r="H72" s="52"/>
      <c r="I72" s="52"/>
      <c r="J72" s="52"/>
      <c r="K72" s="52"/>
      <c r="L72" s="52"/>
      <c r="M72" s="52"/>
    </row>
    <row r="73" spans="2:14" ht="15">
      <c r="B73" s="47" t="s">
        <v>1389</v>
      </c>
      <c r="C73" s="48" t="s">
        <v>1390</v>
      </c>
      <c r="D73" s="49"/>
      <c r="E73" s="52"/>
      <c r="F73" s="52"/>
      <c r="G73" s="52"/>
      <c r="H73" s="52"/>
      <c r="I73" s="52"/>
      <c r="J73" s="52"/>
      <c r="K73" s="52"/>
      <c r="L73" s="52"/>
      <c r="M73" s="52"/>
    </row>
    <row r="74" spans="2:14" ht="15">
      <c r="B74" s="60" t="s">
        <v>1391</v>
      </c>
      <c r="C74" s="56" t="s">
        <v>1392</v>
      </c>
      <c r="D74" s="57"/>
      <c r="E74" s="58"/>
      <c r="F74" s="58"/>
      <c r="G74" s="58"/>
      <c r="H74" s="58"/>
      <c r="I74" s="58"/>
      <c r="J74" s="58"/>
      <c r="K74" s="58"/>
      <c r="L74" s="58"/>
      <c r="M74" s="58"/>
    </row>
    <row r="75" spans="2:14" ht="15">
      <c r="B75" s="60" t="s">
        <v>1393</v>
      </c>
      <c r="C75" s="56" t="s">
        <v>1394</v>
      </c>
      <c r="D75" s="57"/>
      <c r="E75" s="58"/>
      <c r="F75" s="58"/>
      <c r="G75" s="58"/>
      <c r="H75" s="58"/>
      <c r="I75" s="58"/>
      <c r="J75" s="58"/>
      <c r="K75" s="58"/>
      <c r="L75" s="58"/>
      <c r="M75" s="58"/>
    </row>
  </sheetData>
  <mergeCells count="6">
    <mergeCell ref="L63:M69"/>
    <mergeCell ref="B5:B6"/>
    <mergeCell ref="C5:D6"/>
    <mergeCell ref="E5:F5"/>
    <mergeCell ref="L5:M5"/>
    <mergeCell ref="L6:M6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6">
    <tabColor theme="8" tint="0.39997558519241921"/>
  </sheetPr>
  <dimension ref="A3:M234"/>
  <sheetViews>
    <sheetView workbookViewId="0"/>
  </sheetViews>
  <sheetFormatPr defaultRowHeight="14.25"/>
  <cols>
    <col min="1" max="1" width="37" customWidth="1"/>
    <col min="2" max="2" width="26.5" customWidth="1"/>
    <col min="13" max="13" width="27.75" customWidth="1"/>
  </cols>
  <sheetData>
    <row r="3" spans="1:13" ht="25.5">
      <c r="B3" s="94" t="s">
        <v>716</v>
      </c>
      <c r="C3" s="243"/>
      <c r="D3" s="243"/>
      <c r="E3" s="243"/>
      <c r="F3" s="243"/>
      <c r="G3" s="243"/>
      <c r="H3" s="17"/>
      <c r="I3" s="243"/>
      <c r="J3" s="29"/>
      <c r="K3" s="29"/>
      <c r="L3" s="243"/>
      <c r="M3" s="96" t="s">
        <v>706</v>
      </c>
    </row>
    <row r="4" spans="1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1:13" ht="14.25" customHeight="1">
      <c r="B5" s="253" t="s">
        <v>0</v>
      </c>
      <c r="C5" s="255" t="s">
        <v>1</v>
      </c>
      <c r="D5" s="253"/>
      <c r="E5" s="265" t="s">
        <v>2</v>
      </c>
      <c r="F5" s="265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9" t="s">
        <v>8</v>
      </c>
      <c r="M5" s="255"/>
    </row>
    <row r="6" spans="1:13" ht="15">
      <c r="B6" s="254"/>
      <c r="C6" s="256"/>
      <c r="D6" s="254"/>
      <c r="E6" s="20" t="s">
        <v>9</v>
      </c>
      <c r="F6" s="10" t="s">
        <v>10</v>
      </c>
      <c r="G6" s="21"/>
      <c r="H6" s="22"/>
      <c r="I6" s="32"/>
      <c r="J6" s="33"/>
      <c r="K6" s="33"/>
      <c r="L6" s="260" t="s">
        <v>11</v>
      </c>
      <c r="M6" s="261"/>
    </row>
    <row r="7" spans="1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/>
      <c r="M7" s="43" t="s">
        <v>717</v>
      </c>
    </row>
    <row r="8" spans="1:13" ht="15" customHeight="1" thickBot="1">
      <c r="B8" s="13" t="s">
        <v>1527</v>
      </c>
      <c r="C8" s="14">
        <v>1.5</v>
      </c>
      <c r="D8" s="15">
        <v>2</v>
      </c>
      <c r="E8" s="14">
        <v>15</v>
      </c>
      <c r="F8" s="15">
        <v>18.5</v>
      </c>
      <c r="G8" s="27" t="s">
        <v>578</v>
      </c>
      <c r="H8" s="28">
        <v>2900</v>
      </c>
      <c r="I8" s="38" t="s">
        <v>566</v>
      </c>
      <c r="J8" s="39">
        <v>34</v>
      </c>
      <c r="K8" s="42">
        <f>0.46*0.26*0.35</f>
        <v>4.1860000000000001E-2</v>
      </c>
      <c r="L8" s="102"/>
      <c r="M8" s="73">
        <v>785.4</v>
      </c>
    </row>
    <row r="9" spans="1:13" ht="15" thickBot="1">
      <c r="B9" s="13" t="s">
        <v>1528</v>
      </c>
      <c r="C9" s="14">
        <v>2.2000000000000002</v>
      </c>
      <c r="D9" s="15">
        <v>3</v>
      </c>
      <c r="E9" s="14">
        <v>15</v>
      </c>
      <c r="F9" s="15">
        <v>24.5</v>
      </c>
      <c r="G9" s="27" t="s">
        <v>578</v>
      </c>
      <c r="H9" s="28">
        <v>2900</v>
      </c>
      <c r="I9" s="38" t="s">
        <v>566</v>
      </c>
      <c r="J9" s="39">
        <v>34</v>
      </c>
      <c r="K9" s="42">
        <f>0.46*0.26*0.35</f>
        <v>4.1860000000000001E-2</v>
      </c>
      <c r="L9" s="102"/>
      <c r="M9" s="73">
        <v>832.16700000000003</v>
      </c>
    </row>
    <row r="10" spans="1:13" ht="15" thickBot="1">
      <c r="B10" s="13" t="s">
        <v>1529</v>
      </c>
      <c r="C10" s="14">
        <v>3</v>
      </c>
      <c r="D10" s="15">
        <v>4</v>
      </c>
      <c r="E10" s="14">
        <v>15</v>
      </c>
      <c r="F10" s="15">
        <v>28</v>
      </c>
      <c r="G10" s="27" t="s">
        <v>578</v>
      </c>
      <c r="H10" s="28">
        <v>2900</v>
      </c>
      <c r="I10" s="38" t="s">
        <v>566</v>
      </c>
      <c r="J10" s="39">
        <v>34</v>
      </c>
      <c r="K10" s="42">
        <f>0.46*0.26*0.35</f>
        <v>4.1860000000000001E-2</v>
      </c>
      <c r="L10" s="102"/>
      <c r="M10" s="73">
        <v>943.19399999999996</v>
      </c>
    </row>
    <row r="11" spans="1:13" ht="15" thickBot="1">
      <c r="B11" s="13" t="s">
        <v>1530</v>
      </c>
      <c r="C11" s="14">
        <v>3</v>
      </c>
      <c r="D11" s="15">
        <v>4</v>
      </c>
      <c r="E11" s="14">
        <v>15</v>
      </c>
      <c r="F11" s="15">
        <v>35.200000000000003</v>
      </c>
      <c r="G11" s="27" t="s">
        <v>578</v>
      </c>
      <c r="H11" s="28">
        <v>2900</v>
      </c>
      <c r="I11" s="38" t="s">
        <v>566</v>
      </c>
      <c r="J11" s="39">
        <v>38</v>
      </c>
      <c r="K11" s="42">
        <f>0.46*0.26*0.36</f>
        <v>4.3056000000000004E-2</v>
      </c>
      <c r="L11" s="102"/>
      <c r="M11" s="73">
        <v>1044.2249999999999</v>
      </c>
    </row>
    <row r="12" spans="1:13" ht="15" thickBot="1">
      <c r="B12" s="13" t="s">
        <v>1531</v>
      </c>
      <c r="C12" s="14">
        <v>4</v>
      </c>
      <c r="D12" s="15">
        <v>5.5</v>
      </c>
      <c r="E12" s="14">
        <v>15</v>
      </c>
      <c r="F12" s="15">
        <v>45.5</v>
      </c>
      <c r="G12" s="27" t="s">
        <v>578</v>
      </c>
      <c r="H12" s="28">
        <v>2900</v>
      </c>
      <c r="I12" s="38" t="s">
        <v>566</v>
      </c>
      <c r="J12" s="39">
        <v>38</v>
      </c>
      <c r="K12" s="42">
        <f>0.46*0.26*0.36</f>
        <v>4.3056000000000004E-2</v>
      </c>
      <c r="L12" s="102"/>
      <c r="M12" s="73">
        <v>1113.4829999999999</v>
      </c>
    </row>
    <row r="13" spans="1:13" ht="15" thickBot="1">
      <c r="B13" s="13" t="s">
        <v>1532</v>
      </c>
      <c r="C13" s="14">
        <v>5.5</v>
      </c>
      <c r="D13" s="15">
        <v>7.5</v>
      </c>
      <c r="E13" s="14">
        <v>15</v>
      </c>
      <c r="F13" s="15">
        <v>55</v>
      </c>
      <c r="G13" s="27" t="s">
        <v>578</v>
      </c>
      <c r="H13" s="28">
        <v>2900</v>
      </c>
      <c r="I13" s="38" t="s">
        <v>707</v>
      </c>
      <c r="J13" s="39">
        <v>60</v>
      </c>
      <c r="K13" s="42">
        <f>0.46*0.32*0.46</f>
        <v>6.7712000000000008E-2</v>
      </c>
      <c r="L13" s="102"/>
      <c r="M13" s="73">
        <v>1374.45</v>
      </c>
    </row>
    <row r="14" spans="1:13" ht="15" thickBot="1">
      <c r="B14" s="13" t="s">
        <v>1533</v>
      </c>
      <c r="C14" s="14">
        <v>7.5</v>
      </c>
      <c r="D14" s="15">
        <v>10</v>
      </c>
      <c r="E14" s="14">
        <v>15</v>
      </c>
      <c r="F14" s="15">
        <v>66</v>
      </c>
      <c r="G14" s="27" t="s">
        <v>578</v>
      </c>
      <c r="H14" s="28">
        <v>2900</v>
      </c>
      <c r="I14" s="38" t="s">
        <v>707</v>
      </c>
      <c r="J14" s="39">
        <v>60</v>
      </c>
      <c r="K14" s="42">
        <f>0.46*0.32*0.46</f>
        <v>6.7712000000000008E-2</v>
      </c>
      <c r="L14" s="102"/>
      <c r="M14" s="73">
        <v>1415.5050000000001</v>
      </c>
    </row>
    <row r="15" spans="1:13" ht="15" thickBot="1">
      <c r="B15" s="13" t="s">
        <v>1534</v>
      </c>
      <c r="C15" s="14">
        <v>9.1999999999999993</v>
      </c>
      <c r="D15" s="15">
        <v>12.5</v>
      </c>
      <c r="E15" s="14">
        <v>15</v>
      </c>
      <c r="F15" s="15">
        <v>72</v>
      </c>
      <c r="G15" s="27" t="s">
        <v>578</v>
      </c>
      <c r="H15" s="28">
        <v>2900</v>
      </c>
      <c r="I15" s="38" t="s">
        <v>707</v>
      </c>
      <c r="J15" s="39">
        <v>60</v>
      </c>
      <c r="K15" s="42">
        <f>0.46*0.32*0.46</f>
        <v>6.7712000000000008E-2</v>
      </c>
      <c r="L15" s="102"/>
      <c r="M15" s="73">
        <v>1792.854</v>
      </c>
    </row>
    <row r="16" spans="1:13" ht="15.75" thickBot="1">
      <c r="A16" s="16" t="s">
        <v>717</v>
      </c>
      <c r="B16" s="13" t="s">
        <v>1535</v>
      </c>
      <c r="C16" s="14">
        <v>11</v>
      </c>
      <c r="D16" s="15">
        <v>15</v>
      </c>
      <c r="E16" s="14">
        <v>15</v>
      </c>
      <c r="F16" s="15">
        <v>82</v>
      </c>
      <c r="G16" s="27" t="s">
        <v>578</v>
      </c>
      <c r="H16" s="28">
        <v>2900</v>
      </c>
      <c r="I16" s="38" t="s">
        <v>707</v>
      </c>
      <c r="J16" s="39">
        <v>60</v>
      </c>
      <c r="K16" s="42">
        <f>0.46*0.32*0.46</f>
        <v>6.7712000000000008E-2</v>
      </c>
      <c r="L16" s="102"/>
      <c r="M16" s="73">
        <v>2045.2529999999999</v>
      </c>
    </row>
    <row r="17" spans="1:13" ht="15.75" thickBot="1">
      <c r="A17" s="16"/>
      <c r="B17" s="13" t="s">
        <v>1536</v>
      </c>
      <c r="C17" s="14">
        <v>15</v>
      </c>
      <c r="D17" s="15">
        <v>20</v>
      </c>
      <c r="E17" s="14">
        <v>15</v>
      </c>
      <c r="F17" s="15">
        <v>90</v>
      </c>
      <c r="G17" s="27" t="s">
        <v>578</v>
      </c>
      <c r="H17" s="28">
        <v>2900</v>
      </c>
      <c r="I17" s="38" t="s">
        <v>707</v>
      </c>
      <c r="J17" s="39">
        <v>60</v>
      </c>
      <c r="K17" s="42">
        <f>0.46*0.32*0.46</f>
        <v>6.7712000000000008E-2</v>
      </c>
      <c r="L17" s="102"/>
      <c r="M17" s="73">
        <v>2125.578</v>
      </c>
    </row>
    <row r="18" spans="1:13" ht="15" customHeight="1" thickBot="1">
      <c r="B18" s="13" t="s">
        <v>1537</v>
      </c>
      <c r="C18" s="14">
        <v>3</v>
      </c>
      <c r="D18" s="15">
        <v>4</v>
      </c>
      <c r="E18" s="14">
        <v>27</v>
      </c>
      <c r="F18" s="15">
        <v>26.3</v>
      </c>
      <c r="G18" s="27" t="s">
        <v>1367</v>
      </c>
      <c r="H18" s="28">
        <v>2900</v>
      </c>
      <c r="I18" s="38" t="s">
        <v>707</v>
      </c>
      <c r="J18" s="39">
        <v>38</v>
      </c>
      <c r="K18" s="42">
        <f>0.46*0.26*0.34</f>
        <v>4.0664000000000006E-2</v>
      </c>
      <c r="L18" s="102"/>
      <c r="M18" s="73">
        <v>996.03</v>
      </c>
    </row>
    <row r="19" spans="1:13" ht="15" thickBot="1">
      <c r="B19" s="13" t="s">
        <v>1538</v>
      </c>
      <c r="C19" s="14">
        <v>4</v>
      </c>
      <c r="D19" s="15">
        <v>5.5</v>
      </c>
      <c r="E19" s="14">
        <v>27</v>
      </c>
      <c r="F19" s="15">
        <v>33</v>
      </c>
      <c r="G19" s="27" t="s">
        <v>1367</v>
      </c>
      <c r="H19" s="28">
        <v>2900</v>
      </c>
      <c r="I19" s="38" t="s">
        <v>707</v>
      </c>
      <c r="J19" s="39">
        <v>38</v>
      </c>
      <c r="K19" s="42">
        <f>0.46*0.26*0.34</f>
        <v>4.0664000000000006E-2</v>
      </c>
      <c r="L19" s="102"/>
      <c r="M19" s="73">
        <v>1064.5740000000001</v>
      </c>
    </row>
    <row r="20" spans="1:13" ht="15" thickBot="1">
      <c r="B20" s="13" t="s">
        <v>1539</v>
      </c>
      <c r="C20" s="14">
        <v>5.5</v>
      </c>
      <c r="D20" s="15">
        <v>7.5</v>
      </c>
      <c r="E20" s="14">
        <v>27</v>
      </c>
      <c r="F20" s="15">
        <v>40.1</v>
      </c>
      <c r="G20" s="27" t="s">
        <v>1367</v>
      </c>
      <c r="H20" s="28">
        <v>2900</v>
      </c>
      <c r="I20" s="38" t="s">
        <v>566</v>
      </c>
      <c r="J20" s="39">
        <v>41</v>
      </c>
      <c r="K20" s="42">
        <f>0.48*0.28*0.36</f>
        <v>4.8384000000000003E-2</v>
      </c>
      <c r="L20" s="102"/>
      <c r="M20" s="73">
        <v>1364.4540000000002</v>
      </c>
    </row>
    <row r="21" spans="1:13" ht="15" thickBot="1">
      <c r="B21" s="13" t="s">
        <v>1540</v>
      </c>
      <c r="C21" s="14">
        <v>7.5</v>
      </c>
      <c r="D21" s="15">
        <v>10</v>
      </c>
      <c r="E21" s="14">
        <v>27</v>
      </c>
      <c r="F21" s="15">
        <v>50</v>
      </c>
      <c r="G21" s="27" t="s">
        <v>1367</v>
      </c>
      <c r="H21" s="28">
        <v>2900</v>
      </c>
      <c r="I21" s="38" t="s">
        <v>566</v>
      </c>
      <c r="J21" s="39">
        <v>41</v>
      </c>
      <c r="K21" s="42">
        <f>0.48*0.28*0.36</f>
        <v>4.8384000000000003E-2</v>
      </c>
      <c r="L21" s="102"/>
      <c r="M21" s="73">
        <v>1409.7929999999999</v>
      </c>
    </row>
    <row r="22" spans="1:13" ht="15" thickBot="1">
      <c r="B22" s="13" t="s">
        <v>1541</v>
      </c>
      <c r="C22" s="14">
        <v>9.1999999999999993</v>
      </c>
      <c r="D22" s="15">
        <v>12.5</v>
      </c>
      <c r="E22" s="14">
        <v>27</v>
      </c>
      <c r="F22" s="15">
        <v>55</v>
      </c>
      <c r="G22" s="27" t="s">
        <v>1367</v>
      </c>
      <c r="H22" s="28">
        <v>2900</v>
      </c>
      <c r="I22" s="38" t="s">
        <v>707</v>
      </c>
      <c r="J22" s="39">
        <v>63</v>
      </c>
      <c r="K22" s="42">
        <f>0.48*0.32*0.46</f>
        <v>7.0655999999999997E-2</v>
      </c>
      <c r="L22" s="102"/>
      <c r="M22" s="73">
        <v>1808.5620000000001</v>
      </c>
    </row>
    <row r="23" spans="1:13" ht="15" thickBot="1">
      <c r="B23" s="13" t="s">
        <v>1542</v>
      </c>
      <c r="C23" s="14">
        <v>11</v>
      </c>
      <c r="D23" s="15">
        <v>15</v>
      </c>
      <c r="E23" s="14">
        <v>27</v>
      </c>
      <c r="F23" s="15">
        <v>63.5</v>
      </c>
      <c r="G23" s="27" t="s">
        <v>1367</v>
      </c>
      <c r="H23" s="28">
        <v>2900</v>
      </c>
      <c r="I23" s="38" t="s">
        <v>707</v>
      </c>
      <c r="J23" s="39">
        <v>63</v>
      </c>
      <c r="K23" s="42">
        <f>0.48*0.32*0.46</f>
        <v>7.0655999999999997E-2</v>
      </c>
      <c r="L23" s="102"/>
      <c r="M23" s="73">
        <v>2060.9609999999998</v>
      </c>
    </row>
    <row r="24" spans="1:13" ht="15" thickBot="1">
      <c r="B24" s="13" t="s">
        <v>1543</v>
      </c>
      <c r="C24" s="14">
        <v>15</v>
      </c>
      <c r="D24" s="15">
        <v>20</v>
      </c>
      <c r="E24" s="14">
        <v>27</v>
      </c>
      <c r="F24" s="15">
        <v>75.2</v>
      </c>
      <c r="G24" s="27" t="s">
        <v>1367</v>
      </c>
      <c r="H24" s="28">
        <v>2900</v>
      </c>
      <c r="I24" s="38" t="s">
        <v>707</v>
      </c>
      <c r="J24" s="39">
        <v>63</v>
      </c>
      <c r="K24" s="42">
        <f>0.48*0.32*0.46</f>
        <v>7.0655999999999997E-2</v>
      </c>
      <c r="L24" s="102"/>
      <c r="M24" s="73">
        <v>2161.2780000000002</v>
      </c>
    </row>
    <row r="25" spans="1:13" ht="15" thickBot="1">
      <c r="B25" s="13" t="s">
        <v>1544</v>
      </c>
      <c r="C25" s="14">
        <v>18.5</v>
      </c>
      <c r="D25" s="15">
        <v>25</v>
      </c>
      <c r="E25" s="14">
        <v>27</v>
      </c>
      <c r="F25" s="15">
        <v>80.7</v>
      </c>
      <c r="G25" s="27" t="s">
        <v>1367</v>
      </c>
      <c r="H25" s="28">
        <v>2900</v>
      </c>
      <c r="I25" s="38" t="s">
        <v>707</v>
      </c>
      <c r="J25" s="39">
        <v>63</v>
      </c>
      <c r="K25" s="42">
        <f>0.48*0.32*0.46</f>
        <v>7.0655999999999997E-2</v>
      </c>
      <c r="L25" s="102"/>
      <c r="M25" s="73">
        <v>2337.9929999999999</v>
      </c>
    </row>
    <row r="26" spans="1:13" ht="15" thickBot="1">
      <c r="B26" s="13" t="s">
        <v>1545</v>
      </c>
      <c r="C26" s="14">
        <v>18.5</v>
      </c>
      <c r="D26" s="15">
        <v>25</v>
      </c>
      <c r="E26" s="14">
        <v>27</v>
      </c>
      <c r="F26" s="15">
        <v>92.5</v>
      </c>
      <c r="G26" s="27" t="s">
        <v>1367</v>
      </c>
      <c r="H26" s="28">
        <v>2900</v>
      </c>
      <c r="I26" s="38" t="s">
        <v>707</v>
      </c>
      <c r="J26" s="39">
        <v>90</v>
      </c>
      <c r="K26" s="42">
        <f>0.65*0.38*0.46</f>
        <v>0.11362000000000001</v>
      </c>
      <c r="L26" s="102"/>
      <c r="M26" s="73">
        <v>2763.18</v>
      </c>
    </row>
    <row r="27" spans="1:13" ht="15" thickBot="1">
      <c r="B27" s="13" t="s">
        <v>1546</v>
      </c>
      <c r="C27" s="14">
        <v>22</v>
      </c>
      <c r="D27" s="15">
        <v>30</v>
      </c>
      <c r="E27" s="14">
        <v>27</v>
      </c>
      <c r="F27" s="15">
        <v>103.5</v>
      </c>
      <c r="G27" s="27" t="s">
        <v>1367</v>
      </c>
      <c r="H27" s="28">
        <v>2900</v>
      </c>
      <c r="I27" s="38" t="s">
        <v>707</v>
      </c>
      <c r="J27" s="39">
        <v>90</v>
      </c>
      <c r="K27" s="42">
        <f>0.65*0.38*0.46</f>
        <v>0.11362000000000001</v>
      </c>
      <c r="L27" s="102"/>
      <c r="M27" s="73">
        <v>3208.002</v>
      </c>
    </row>
    <row r="28" spans="1:13" ht="15" thickBot="1">
      <c r="B28" s="13" t="s">
        <v>1547</v>
      </c>
      <c r="C28" s="14">
        <v>30</v>
      </c>
      <c r="D28" s="15">
        <v>40</v>
      </c>
      <c r="E28" s="14">
        <v>27</v>
      </c>
      <c r="F28" s="15">
        <v>117</v>
      </c>
      <c r="G28" s="27" t="s">
        <v>1367</v>
      </c>
      <c r="H28" s="28">
        <v>2900</v>
      </c>
      <c r="I28" s="38" t="s">
        <v>707</v>
      </c>
      <c r="J28" s="39">
        <v>90</v>
      </c>
      <c r="K28" s="42">
        <f>0.65*0.38*0.46</f>
        <v>0.11362000000000001</v>
      </c>
      <c r="L28" s="102"/>
      <c r="M28" s="73">
        <v>3972.3390000000004</v>
      </c>
    </row>
    <row r="29" spans="1:13" ht="15.75" thickBot="1">
      <c r="A29" s="16"/>
      <c r="B29" s="13" t="s">
        <v>1548</v>
      </c>
      <c r="C29" s="14">
        <v>37</v>
      </c>
      <c r="D29" s="15">
        <v>50</v>
      </c>
      <c r="E29" s="14">
        <v>27</v>
      </c>
      <c r="F29" s="15">
        <v>142</v>
      </c>
      <c r="G29" s="27" t="s">
        <v>1367</v>
      </c>
      <c r="H29" s="28">
        <v>2900</v>
      </c>
      <c r="I29" s="38" t="s">
        <v>707</v>
      </c>
      <c r="J29" s="39">
        <v>90</v>
      </c>
      <c r="K29" s="42">
        <f>0.65*0.38*0.46</f>
        <v>0.11362000000000001</v>
      </c>
      <c r="L29" s="102"/>
      <c r="M29" s="73">
        <v>4140.4859999999999</v>
      </c>
    </row>
    <row r="30" spans="1:13" ht="15" thickBot="1">
      <c r="B30" s="13" t="s">
        <v>1549</v>
      </c>
      <c r="C30" s="14">
        <v>45</v>
      </c>
      <c r="D30" s="15">
        <v>60</v>
      </c>
      <c r="E30" s="14">
        <v>27</v>
      </c>
      <c r="F30" s="15">
        <v>159</v>
      </c>
      <c r="G30" s="27" t="s">
        <v>1367</v>
      </c>
      <c r="H30" s="28">
        <v>2900</v>
      </c>
      <c r="I30" s="38" t="s">
        <v>707</v>
      </c>
      <c r="J30" s="39">
        <v>90</v>
      </c>
      <c r="K30" s="42">
        <f>0.65*0.38*0.46</f>
        <v>0.11362000000000001</v>
      </c>
      <c r="L30" s="102"/>
      <c r="M30" s="73">
        <v>5105.1000000000004</v>
      </c>
    </row>
    <row r="31" spans="1:13" ht="15" customHeight="1" thickBot="1">
      <c r="B31" s="13" t="s">
        <v>1550</v>
      </c>
      <c r="C31" s="14">
        <v>2.2000000000000002</v>
      </c>
      <c r="D31" s="15">
        <v>3</v>
      </c>
      <c r="E31" s="14">
        <v>48</v>
      </c>
      <c r="F31" s="15">
        <v>12.8</v>
      </c>
      <c r="G31" s="27" t="s">
        <v>1368</v>
      </c>
      <c r="H31" s="28">
        <v>2900</v>
      </c>
      <c r="I31" s="38" t="s">
        <v>707</v>
      </c>
      <c r="J31" s="39">
        <v>38</v>
      </c>
      <c r="K31" s="42">
        <f>0.5*0.26*0.34</f>
        <v>4.4200000000000003E-2</v>
      </c>
      <c r="L31" s="102"/>
      <c r="M31" s="73">
        <v>875.36399999999992</v>
      </c>
    </row>
    <row r="32" spans="1:13" ht="15" thickBot="1">
      <c r="B32" s="13" t="s">
        <v>1551</v>
      </c>
      <c r="C32" s="14">
        <v>3</v>
      </c>
      <c r="D32" s="15">
        <v>4</v>
      </c>
      <c r="E32" s="14">
        <v>48</v>
      </c>
      <c r="F32" s="15">
        <v>17</v>
      </c>
      <c r="G32" s="27" t="s">
        <v>1368</v>
      </c>
      <c r="H32" s="28">
        <v>2900</v>
      </c>
      <c r="I32" s="38" t="s">
        <v>707</v>
      </c>
      <c r="J32" s="39">
        <v>38</v>
      </c>
      <c r="K32" s="42">
        <f>0.5*0.26*0.34</f>
        <v>4.4200000000000003E-2</v>
      </c>
      <c r="L32" s="102"/>
      <c r="M32" s="73">
        <v>996.03</v>
      </c>
    </row>
    <row r="33" spans="1:13" ht="15" thickBot="1">
      <c r="B33" s="13" t="s">
        <v>1552</v>
      </c>
      <c r="C33" s="14">
        <v>4</v>
      </c>
      <c r="D33" s="15">
        <v>5.5</v>
      </c>
      <c r="E33" s="14">
        <v>54</v>
      </c>
      <c r="F33" s="15">
        <v>20.3</v>
      </c>
      <c r="G33" s="27" t="s">
        <v>1368</v>
      </c>
      <c r="H33" s="28">
        <v>2900</v>
      </c>
      <c r="I33" s="38" t="s">
        <v>707</v>
      </c>
      <c r="J33" s="39">
        <v>38</v>
      </c>
      <c r="K33" s="42">
        <f>0.5*0.26*0.34</f>
        <v>4.4200000000000003E-2</v>
      </c>
      <c r="L33" s="102"/>
      <c r="M33" s="73">
        <v>1064.5740000000001</v>
      </c>
    </row>
    <row r="34" spans="1:13" ht="15" thickBot="1">
      <c r="B34" s="13" t="s">
        <v>1553</v>
      </c>
      <c r="C34" s="14">
        <v>5.5</v>
      </c>
      <c r="D34" s="15">
        <v>7.5</v>
      </c>
      <c r="E34" s="14">
        <v>54</v>
      </c>
      <c r="F34" s="15">
        <v>26.6</v>
      </c>
      <c r="G34" s="27" t="s">
        <v>1368</v>
      </c>
      <c r="H34" s="28">
        <v>2900</v>
      </c>
      <c r="I34" s="38" t="s">
        <v>707</v>
      </c>
      <c r="J34" s="39">
        <v>42</v>
      </c>
      <c r="K34" s="42">
        <f>0.48*0.28*0.4</f>
        <v>5.3760000000000009E-2</v>
      </c>
      <c r="L34" s="102"/>
      <c r="M34" s="73">
        <v>1332.3240000000001</v>
      </c>
    </row>
    <row r="35" spans="1:13" ht="15" thickBot="1">
      <c r="B35" s="13" t="s">
        <v>1554</v>
      </c>
      <c r="C35" s="14">
        <v>7.5</v>
      </c>
      <c r="D35" s="15">
        <v>10</v>
      </c>
      <c r="E35" s="14">
        <v>54</v>
      </c>
      <c r="F35" s="15">
        <v>34.4</v>
      </c>
      <c r="G35" s="27" t="s">
        <v>1368</v>
      </c>
      <c r="H35" s="28">
        <v>2900</v>
      </c>
      <c r="I35" s="38" t="s">
        <v>707</v>
      </c>
      <c r="J35" s="39">
        <v>42</v>
      </c>
      <c r="K35" s="42">
        <f>0.48*0.28*0.4</f>
        <v>5.3760000000000009E-2</v>
      </c>
      <c r="L35" s="102"/>
      <c r="M35" s="73">
        <v>1374.45</v>
      </c>
    </row>
    <row r="36" spans="1:13" ht="15" thickBot="1">
      <c r="B36" s="13" t="s">
        <v>1555</v>
      </c>
      <c r="C36" s="14">
        <v>9.1999999999999993</v>
      </c>
      <c r="D36" s="15">
        <v>12.5</v>
      </c>
      <c r="E36" s="14">
        <v>54</v>
      </c>
      <c r="F36" s="15">
        <v>40.9</v>
      </c>
      <c r="G36" s="27" t="s">
        <v>1368</v>
      </c>
      <c r="H36" s="28">
        <v>2900</v>
      </c>
      <c r="I36" s="38" t="s">
        <v>707</v>
      </c>
      <c r="J36" s="39">
        <v>49</v>
      </c>
      <c r="K36" s="42">
        <f>0.48*0.28*0.38</f>
        <v>5.1072000000000006E-2</v>
      </c>
      <c r="L36" s="102"/>
      <c r="M36" s="73">
        <v>1786.7850000000001</v>
      </c>
    </row>
    <row r="37" spans="1:13" ht="15" thickBot="1">
      <c r="B37" s="13" t="s">
        <v>1556</v>
      </c>
      <c r="C37" s="14">
        <v>11</v>
      </c>
      <c r="D37" s="15">
        <v>15</v>
      </c>
      <c r="E37" s="14">
        <v>54</v>
      </c>
      <c r="F37" s="15">
        <v>47.5</v>
      </c>
      <c r="G37" s="27" t="s">
        <v>1368</v>
      </c>
      <c r="H37" s="28">
        <v>2900</v>
      </c>
      <c r="I37" s="38" t="s">
        <v>707</v>
      </c>
      <c r="J37" s="39">
        <v>49</v>
      </c>
      <c r="K37" s="42">
        <f>0.48*0.28*0.38</f>
        <v>5.1072000000000006E-2</v>
      </c>
      <c r="L37" s="102"/>
      <c r="M37" s="73">
        <v>2045.2529999999999</v>
      </c>
    </row>
    <row r="38" spans="1:13" ht="15.75" thickBot="1">
      <c r="A38" s="16"/>
      <c r="B38" s="13" t="s">
        <v>1557</v>
      </c>
      <c r="C38" s="14">
        <v>15</v>
      </c>
      <c r="D38" s="15">
        <v>20</v>
      </c>
      <c r="E38" s="14">
        <v>54</v>
      </c>
      <c r="F38" s="15">
        <v>52</v>
      </c>
      <c r="G38" s="27" t="s">
        <v>1368</v>
      </c>
      <c r="H38" s="28">
        <v>2900</v>
      </c>
      <c r="I38" s="38" t="s">
        <v>707</v>
      </c>
      <c r="J38" s="39">
        <v>50</v>
      </c>
      <c r="K38" s="42">
        <f>0.48*0.28*0.38</f>
        <v>5.1072000000000006E-2</v>
      </c>
      <c r="L38" s="102"/>
      <c r="M38" s="73">
        <v>2148.4259999999999</v>
      </c>
    </row>
    <row r="39" spans="1:13" ht="15" thickBot="1">
      <c r="B39" s="13" t="s">
        <v>1558</v>
      </c>
      <c r="C39" s="14">
        <v>15</v>
      </c>
      <c r="D39" s="15">
        <v>20</v>
      </c>
      <c r="E39" s="14">
        <v>54</v>
      </c>
      <c r="F39" s="15">
        <v>59</v>
      </c>
      <c r="G39" s="27" t="s">
        <v>1368</v>
      </c>
      <c r="H39" s="28">
        <v>2900</v>
      </c>
      <c r="I39" s="38" t="s">
        <v>707</v>
      </c>
      <c r="J39" s="39">
        <v>55</v>
      </c>
      <c r="K39" s="42">
        <f>0.48*0.32*0.46</f>
        <v>7.0655999999999997E-2</v>
      </c>
      <c r="L39" s="102"/>
      <c r="M39" s="73">
        <v>2178.7709999999997</v>
      </c>
    </row>
    <row r="40" spans="1:13" ht="15" thickBot="1">
      <c r="B40" s="13" t="s">
        <v>1559</v>
      </c>
      <c r="C40" s="14">
        <v>18.5</v>
      </c>
      <c r="D40" s="15">
        <v>25</v>
      </c>
      <c r="E40" s="14">
        <v>54</v>
      </c>
      <c r="F40" s="15">
        <v>71.5</v>
      </c>
      <c r="G40" s="27" t="s">
        <v>1368</v>
      </c>
      <c r="H40" s="28">
        <v>2900</v>
      </c>
      <c r="I40" s="38" t="s">
        <v>707</v>
      </c>
      <c r="J40" s="39">
        <v>55</v>
      </c>
      <c r="K40" s="42">
        <f>0.48*0.32*0.46</f>
        <v>7.0655999999999997E-2</v>
      </c>
      <c r="L40" s="102"/>
      <c r="M40" s="73">
        <v>2354.7719999999999</v>
      </c>
    </row>
    <row r="41" spans="1:13" ht="15" thickBot="1">
      <c r="B41" s="13" t="s">
        <v>1560</v>
      </c>
      <c r="C41" s="14">
        <v>22</v>
      </c>
      <c r="D41" s="15">
        <v>30</v>
      </c>
      <c r="E41" s="14">
        <v>54</v>
      </c>
      <c r="F41" s="15">
        <v>81.5</v>
      </c>
      <c r="G41" s="27" t="s">
        <v>1368</v>
      </c>
      <c r="H41" s="28">
        <v>2900</v>
      </c>
      <c r="I41" s="38" t="s">
        <v>707</v>
      </c>
      <c r="J41" s="39">
        <v>55</v>
      </c>
      <c r="K41" s="42">
        <f>0.48*0.32*0.46</f>
        <v>7.0655999999999997E-2</v>
      </c>
      <c r="L41" s="102"/>
      <c r="M41" s="73">
        <v>2773.1759999999999</v>
      </c>
    </row>
    <row r="42" spans="1:13" ht="15" thickBot="1">
      <c r="B42" s="13" t="s">
        <v>1561</v>
      </c>
      <c r="C42" s="14">
        <v>30</v>
      </c>
      <c r="D42" s="15">
        <v>40</v>
      </c>
      <c r="E42" s="14">
        <v>54</v>
      </c>
      <c r="F42" s="15">
        <v>87.5</v>
      </c>
      <c r="G42" s="27" t="s">
        <v>1368</v>
      </c>
      <c r="H42" s="28">
        <v>2900</v>
      </c>
      <c r="I42" s="38" t="s">
        <v>707</v>
      </c>
      <c r="J42" s="39">
        <v>55</v>
      </c>
      <c r="K42" s="42">
        <f>0.48*0.32*0.46</f>
        <v>7.0655999999999997E-2</v>
      </c>
      <c r="L42" s="102"/>
      <c r="M42" s="73">
        <v>3559.29</v>
      </c>
    </row>
    <row r="43" spans="1:13" ht="15" customHeight="1" thickBot="1">
      <c r="B43" s="187" t="s">
        <v>1562</v>
      </c>
      <c r="C43" s="188">
        <v>30</v>
      </c>
      <c r="D43" s="189">
        <v>40</v>
      </c>
      <c r="E43" s="188">
        <v>54</v>
      </c>
      <c r="F43" s="189">
        <v>88</v>
      </c>
      <c r="G43" s="190" t="s">
        <v>1368</v>
      </c>
      <c r="H43" s="191">
        <v>2900</v>
      </c>
      <c r="I43" s="192" t="s">
        <v>707</v>
      </c>
      <c r="J43" s="193">
        <v>100</v>
      </c>
      <c r="K43" s="194">
        <f>0.65*0.37*0.62</f>
        <v>0.14910999999999999</v>
      </c>
      <c r="L43" s="195"/>
      <c r="M43" s="336" t="s">
        <v>2698</v>
      </c>
    </row>
    <row r="44" spans="1:13" ht="15" thickBot="1">
      <c r="B44" s="187" t="s">
        <v>1563</v>
      </c>
      <c r="C44" s="188">
        <v>37</v>
      </c>
      <c r="D44" s="189">
        <v>50</v>
      </c>
      <c r="E44" s="188">
        <v>54</v>
      </c>
      <c r="F44" s="189">
        <v>105</v>
      </c>
      <c r="G44" s="190" t="s">
        <v>1368</v>
      </c>
      <c r="H44" s="191">
        <v>2900</v>
      </c>
      <c r="I44" s="192" t="s">
        <v>707</v>
      </c>
      <c r="J44" s="193">
        <v>100</v>
      </c>
      <c r="K44" s="194">
        <f>0.65*0.37*0.62</f>
        <v>0.14910999999999999</v>
      </c>
      <c r="L44" s="195"/>
      <c r="M44" s="337"/>
    </row>
    <row r="45" spans="1:13" ht="15" thickBot="1">
      <c r="B45" s="187" t="s">
        <v>1564</v>
      </c>
      <c r="C45" s="188">
        <v>45</v>
      </c>
      <c r="D45" s="189">
        <v>60</v>
      </c>
      <c r="E45" s="188">
        <v>54</v>
      </c>
      <c r="F45" s="189">
        <v>123</v>
      </c>
      <c r="G45" s="190" t="s">
        <v>1368</v>
      </c>
      <c r="H45" s="191">
        <v>2900</v>
      </c>
      <c r="I45" s="192" t="s">
        <v>707</v>
      </c>
      <c r="J45" s="193">
        <v>100</v>
      </c>
      <c r="K45" s="194">
        <f>0.65*0.37*0.62</f>
        <v>0.14910999999999999</v>
      </c>
      <c r="L45" s="195"/>
      <c r="M45" s="337"/>
    </row>
    <row r="46" spans="1:13" ht="15" thickBot="1">
      <c r="B46" s="187" t="s">
        <v>1565</v>
      </c>
      <c r="C46" s="188">
        <v>55</v>
      </c>
      <c r="D46" s="189">
        <v>75</v>
      </c>
      <c r="E46" s="188">
        <v>54</v>
      </c>
      <c r="F46" s="189">
        <v>137</v>
      </c>
      <c r="G46" s="190" t="s">
        <v>1368</v>
      </c>
      <c r="H46" s="191">
        <v>2900</v>
      </c>
      <c r="I46" s="192" t="s">
        <v>707</v>
      </c>
      <c r="J46" s="193">
        <v>100</v>
      </c>
      <c r="K46" s="194">
        <f>0.65*0.37*0.62</f>
        <v>0.14910999999999999</v>
      </c>
      <c r="L46" s="195"/>
      <c r="M46" s="337"/>
    </row>
    <row r="47" spans="1:13" ht="15" thickBot="1">
      <c r="B47" s="187" t="s">
        <v>1566</v>
      </c>
      <c r="C47" s="188">
        <v>75</v>
      </c>
      <c r="D47" s="189">
        <v>100</v>
      </c>
      <c r="E47" s="188">
        <v>54</v>
      </c>
      <c r="F47" s="189">
        <v>155</v>
      </c>
      <c r="G47" s="190" t="s">
        <v>1368</v>
      </c>
      <c r="H47" s="191">
        <v>2900</v>
      </c>
      <c r="I47" s="192" t="s">
        <v>707</v>
      </c>
      <c r="J47" s="193">
        <v>100</v>
      </c>
      <c r="K47" s="194">
        <f>0.65*0.37*0.62</f>
        <v>0.14910999999999999</v>
      </c>
      <c r="L47" s="195"/>
      <c r="M47" s="337"/>
    </row>
    <row r="48" spans="1:13" ht="15" thickBot="1">
      <c r="B48" s="13" t="s">
        <v>1567</v>
      </c>
      <c r="C48" s="14">
        <v>4</v>
      </c>
      <c r="D48" s="15">
        <v>5.5</v>
      </c>
      <c r="E48" s="14">
        <v>54</v>
      </c>
      <c r="F48" s="15">
        <v>16.8</v>
      </c>
      <c r="G48" s="27" t="s">
        <v>711</v>
      </c>
      <c r="H48" s="28">
        <v>2900</v>
      </c>
      <c r="I48" s="38" t="s">
        <v>707</v>
      </c>
      <c r="J48" s="39">
        <v>46</v>
      </c>
      <c r="K48" s="42">
        <f>0.48*0.3*0.38</f>
        <v>5.4719999999999998E-2</v>
      </c>
      <c r="L48" s="102"/>
      <c r="M48" s="73">
        <v>1164.1770000000001</v>
      </c>
    </row>
    <row r="49" spans="2:13" ht="15" thickBot="1">
      <c r="B49" s="13" t="s">
        <v>1568</v>
      </c>
      <c r="C49" s="14">
        <v>5.5</v>
      </c>
      <c r="D49" s="15">
        <v>7.5</v>
      </c>
      <c r="E49" s="14">
        <v>72</v>
      </c>
      <c r="F49" s="15">
        <v>19</v>
      </c>
      <c r="G49" s="27" t="s">
        <v>711</v>
      </c>
      <c r="H49" s="28">
        <v>2900</v>
      </c>
      <c r="I49" s="38" t="s">
        <v>707</v>
      </c>
      <c r="J49" s="39">
        <v>46</v>
      </c>
      <c r="K49" s="42">
        <f>0.48*0.3*0.38</f>
        <v>5.4719999999999998E-2</v>
      </c>
      <c r="L49" s="102"/>
      <c r="M49" s="73">
        <v>1356.9570000000001</v>
      </c>
    </row>
    <row r="50" spans="2:13" ht="15" thickBot="1">
      <c r="B50" s="13" t="s">
        <v>1569</v>
      </c>
      <c r="C50" s="14">
        <v>7.5</v>
      </c>
      <c r="D50" s="15">
        <v>10</v>
      </c>
      <c r="E50" s="14">
        <v>72</v>
      </c>
      <c r="F50" s="15">
        <v>24.5</v>
      </c>
      <c r="G50" s="27" t="s">
        <v>711</v>
      </c>
      <c r="H50" s="28">
        <v>2900</v>
      </c>
      <c r="I50" s="38" t="s">
        <v>707</v>
      </c>
      <c r="J50" s="39">
        <v>46</v>
      </c>
      <c r="K50" s="42">
        <f>0.48*0.3*0.38</f>
        <v>5.4719999999999998E-2</v>
      </c>
      <c r="L50" s="102"/>
      <c r="M50" s="73">
        <v>1399.0829999999999</v>
      </c>
    </row>
    <row r="51" spans="2:13" ht="15" thickBot="1">
      <c r="B51" s="13" t="s">
        <v>1570</v>
      </c>
      <c r="C51" s="14">
        <v>9.1999999999999993</v>
      </c>
      <c r="D51" s="15">
        <v>12.5</v>
      </c>
      <c r="E51" s="14">
        <v>84</v>
      </c>
      <c r="F51" s="15">
        <v>28</v>
      </c>
      <c r="G51" s="27" t="s">
        <v>711</v>
      </c>
      <c r="H51" s="28">
        <v>2900</v>
      </c>
      <c r="I51" s="38" t="s">
        <v>707</v>
      </c>
      <c r="J51" s="39">
        <v>49</v>
      </c>
      <c r="K51" s="42">
        <f>0.48*0.3*0.42</f>
        <v>6.0479999999999992E-2</v>
      </c>
      <c r="L51" s="102"/>
      <c r="M51" s="73">
        <v>1935.2970000000003</v>
      </c>
    </row>
    <row r="52" spans="2:13" ht="15" thickBot="1">
      <c r="B52" s="13" t="s">
        <v>1571</v>
      </c>
      <c r="C52" s="14">
        <v>11</v>
      </c>
      <c r="D52" s="15">
        <v>15</v>
      </c>
      <c r="E52" s="14">
        <v>84</v>
      </c>
      <c r="F52" s="15">
        <v>31.5</v>
      </c>
      <c r="G52" s="27" t="s">
        <v>711</v>
      </c>
      <c r="H52" s="28">
        <v>2900</v>
      </c>
      <c r="I52" s="38" t="s">
        <v>707</v>
      </c>
      <c r="J52" s="39">
        <v>49</v>
      </c>
      <c r="K52" s="42">
        <f>0.48*0.3*0.42</f>
        <v>6.0479999999999992E-2</v>
      </c>
      <c r="L52" s="102"/>
      <c r="M52" s="73">
        <v>2146.2840000000001</v>
      </c>
    </row>
    <row r="53" spans="2:13" ht="15" thickBot="1">
      <c r="B53" s="13" t="s">
        <v>1572</v>
      </c>
      <c r="C53" s="14">
        <v>15</v>
      </c>
      <c r="D53" s="15">
        <v>20</v>
      </c>
      <c r="E53" s="14">
        <v>84</v>
      </c>
      <c r="F53" s="15">
        <v>38.5</v>
      </c>
      <c r="G53" s="27" t="s">
        <v>711</v>
      </c>
      <c r="H53" s="28">
        <v>2900</v>
      </c>
      <c r="I53" s="38" t="s">
        <v>707</v>
      </c>
      <c r="J53" s="39">
        <v>49</v>
      </c>
      <c r="K53" s="42">
        <f>0.48*0.3*0.42</f>
        <v>6.0479999999999992E-2</v>
      </c>
      <c r="L53" s="102"/>
      <c r="M53" s="73">
        <v>2246.6009999999997</v>
      </c>
    </row>
    <row r="54" spans="2:13" ht="15" thickBot="1">
      <c r="B54" s="13" t="s">
        <v>1573</v>
      </c>
      <c r="C54" s="14">
        <v>15</v>
      </c>
      <c r="D54" s="15">
        <v>20</v>
      </c>
      <c r="E54" s="14">
        <v>84</v>
      </c>
      <c r="F54" s="15">
        <v>41</v>
      </c>
      <c r="G54" s="27" t="s">
        <v>711</v>
      </c>
      <c r="H54" s="28">
        <v>2900</v>
      </c>
      <c r="I54" s="38" t="s">
        <v>707</v>
      </c>
      <c r="J54" s="39">
        <v>55</v>
      </c>
      <c r="K54" s="42">
        <f>0.48*0.34*0.42</f>
        <v>6.8544000000000008E-2</v>
      </c>
      <c r="L54" s="102"/>
      <c r="M54" s="73">
        <v>2291.5830000000001</v>
      </c>
    </row>
    <row r="55" spans="2:13" ht="15" thickBot="1">
      <c r="B55" s="13" t="s">
        <v>1574</v>
      </c>
      <c r="C55" s="14">
        <v>18.5</v>
      </c>
      <c r="D55" s="15">
        <v>25</v>
      </c>
      <c r="E55" s="14">
        <v>84</v>
      </c>
      <c r="F55" s="15">
        <v>49</v>
      </c>
      <c r="G55" s="27" t="s">
        <v>711</v>
      </c>
      <c r="H55" s="28">
        <v>2900</v>
      </c>
      <c r="I55" s="38" t="s">
        <v>707</v>
      </c>
      <c r="J55" s="39">
        <v>55</v>
      </c>
      <c r="K55" s="42">
        <f>0.48*0.34*0.42</f>
        <v>6.8544000000000008E-2</v>
      </c>
      <c r="L55" s="102"/>
      <c r="M55" s="73">
        <v>2472.5819999999999</v>
      </c>
    </row>
    <row r="56" spans="2:13" ht="15" thickBot="1">
      <c r="B56" s="13" t="s">
        <v>1575</v>
      </c>
      <c r="C56" s="14">
        <v>22</v>
      </c>
      <c r="D56" s="15">
        <v>30</v>
      </c>
      <c r="E56" s="14">
        <v>90</v>
      </c>
      <c r="F56" s="15">
        <v>55</v>
      </c>
      <c r="G56" s="27" t="s">
        <v>711</v>
      </c>
      <c r="H56" s="28">
        <v>2900</v>
      </c>
      <c r="I56" s="38" t="s">
        <v>707</v>
      </c>
      <c r="J56" s="39">
        <v>55</v>
      </c>
      <c r="K56" s="42">
        <f>0.48*0.34*0.42</f>
        <v>6.8544000000000008E-2</v>
      </c>
      <c r="L56" s="102"/>
      <c r="M56" s="73">
        <v>2930.9700000000003</v>
      </c>
    </row>
    <row r="57" spans="2:13" ht="15" thickBot="1">
      <c r="B57" s="13" t="s">
        <v>1576</v>
      </c>
      <c r="C57" s="14">
        <v>22</v>
      </c>
      <c r="D57" s="15">
        <v>30</v>
      </c>
      <c r="E57" s="14">
        <v>90</v>
      </c>
      <c r="F57" s="15">
        <v>58.5</v>
      </c>
      <c r="G57" s="27" t="s">
        <v>711</v>
      </c>
      <c r="H57" s="28">
        <v>2900</v>
      </c>
      <c r="I57" s="38" t="s">
        <v>707</v>
      </c>
      <c r="J57" s="39">
        <v>78</v>
      </c>
      <c r="K57" s="42">
        <f>0.59*0.36*0.5</f>
        <v>0.10619999999999999</v>
      </c>
      <c r="L57" s="102"/>
      <c r="M57" s="73">
        <v>2953.1040000000003</v>
      </c>
    </row>
    <row r="58" spans="2:13" ht="15" thickBot="1">
      <c r="B58" s="13" t="s">
        <v>1577</v>
      </c>
      <c r="C58" s="14">
        <v>30</v>
      </c>
      <c r="D58" s="15">
        <v>40</v>
      </c>
      <c r="E58" s="14">
        <v>90</v>
      </c>
      <c r="F58" s="15">
        <v>74.5</v>
      </c>
      <c r="G58" s="27" t="s">
        <v>711</v>
      </c>
      <c r="H58" s="28">
        <v>2900</v>
      </c>
      <c r="I58" s="38" t="s">
        <v>707</v>
      </c>
      <c r="J58" s="39">
        <v>78</v>
      </c>
      <c r="K58" s="42">
        <f>0.59*0.36*0.5</f>
        <v>0.10619999999999999</v>
      </c>
      <c r="L58" s="102"/>
      <c r="M58" s="73">
        <v>3716.37</v>
      </c>
    </row>
    <row r="59" spans="2:13" ht="15" thickBot="1">
      <c r="B59" s="13" t="s">
        <v>1578</v>
      </c>
      <c r="C59" s="14">
        <v>37</v>
      </c>
      <c r="D59" s="15">
        <v>50</v>
      </c>
      <c r="E59" s="14">
        <v>90</v>
      </c>
      <c r="F59" s="15">
        <v>85</v>
      </c>
      <c r="G59" s="27" t="s">
        <v>711</v>
      </c>
      <c r="H59" s="28">
        <v>2900</v>
      </c>
      <c r="I59" s="38" t="s">
        <v>707</v>
      </c>
      <c r="J59" s="39">
        <v>78</v>
      </c>
      <c r="K59" s="42">
        <f>0.59*0.36*0.5</f>
        <v>0.10619999999999999</v>
      </c>
      <c r="L59" s="102"/>
      <c r="M59" s="73">
        <v>3884.8740000000003</v>
      </c>
    </row>
    <row r="60" spans="2:13" ht="15" thickBot="1">
      <c r="B60" s="13" t="s">
        <v>1579</v>
      </c>
      <c r="C60" s="14">
        <v>45</v>
      </c>
      <c r="D60" s="15">
        <v>60</v>
      </c>
      <c r="E60" s="14">
        <v>90</v>
      </c>
      <c r="F60" s="15">
        <v>94.5</v>
      </c>
      <c r="G60" s="27" t="s">
        <v>711</v>
      </c>
      <c r="H60" s="28">
        <v>2900</v>
      </c>
      <c r="I60" s="38" t="s">
        <v>707</v>
      </c>
      <c r="J60" s="39">
        <v>132</v>
      </c>
      <c r="K60" s="42">
        <f>0.65*0.48*0.65</f>
        <v>0.20280000000000001</v>
      </c>
      <c r="L60" s="102"/>
      <c r="M60" s="73">
        <v>5272.5330000000004</v>
      </c>
    </row>
    <row r="61" spans="2:13" ht="15" thickBot="1">
      <c r="B61" s="13" t="s">
        <v>1580</v>
      </c>
      <c r="C61" s="14">
        <v>55</v>
      </c>
      <c r="D61" s="15">
        <v>75</v>
      </c>
      <c r="E61" s="14">
        <v>120</v>
      </c>
      <c r="F61" s="15">
        <v>110</v>
      </c>
      <c r="G61" s="27" t="s">
        <v>711</v>
      </c>
      <c r="H61" s="28">
        <v>2900</v>
      </c>
      <c r="I61" s="38" t="s">
        <v>707</v>
      </c>
      <c r="J61" s="39">
        <v>133</v>
      </c>
      <c r="K61" s="42">
        <f>0.65*0.48*0.65</f>
        <v>0.20280000000000001</v>
      </c>
      <c r="L61" s="102"/>
      <c r="M61" s="334" t="s">
        <v>1260</v>
      </c>
    </row>
    <row r="62" spans="2:13" ht="15" thickBot="1">
      <c r="B62" s="13" t="s">
        <v>1581</v>
      </c>
      <c r="C62" s="14">
        <v>75</v>
      </c>
      <c r="D62" s="15">
        <v>100</v>
      </c>
      <c r="E62" s="14">
        <v>138</v>
      </c>
      <c r="F62" s="15">
        <v>122</v>
      </c>
      <c r="G62" s="27" t="s">
        <v>711</v>
      </c>
      <c r="H62" s="28">
        <v>2900</v>
      </c>
      <c r="I62" s="38" t="s">
        <v>707</v>
      </c>
      <c r="J62" s="39">
        <v>134</v>
      </c>
      <c r="K62" s="42">
        <f>0.65*0.48*0.65</f>
        <v>0.20280000000000001</v>
      </c>
      <c r="L62" s="102"/>
      <c r="M62" s="335"/>
    </row>
    <row r="63" spans="2:13" ht="15" thickBot="1">
      <c r="B63" s="13" t="s">
        <v>1582</v>
      </c>
      <c r="C63" s="14">
        <v>90</v>
      </c>
      <c r="D63" s="15">
        <v>125</v>
      </c>
      <c r="E63" s="14">
        <v>138</v>
      </c>
      <c r="F63" s="15">
        <v>132</v>
      </c>
      <c r="G63" s="27" t="s">
        <v>711</v>
      </c>
      <c r="H63" s="28">
        <v>2900</v>
      </c>
      <c r="I63" s="38" t="s">
        <v>707</v>
      </c>
      <c r="J63" s="39">
        <v>134</v>
      </c>
      <c r="K63" s="42">
        <f>0.65*0.48*0.65</f>
        <v>0.20280000000000001</v>
      </c>
      <c r="L63" s="102"/>
      <c r="M63" s="335"/>
    </row>
    <row r="64" spans="2:13" ht="15" customHeight="1" thickBot="1">
      <c r="B64" s="13" t="s">
        <v>1583</v>
      </c>
      <c r="C64" s="14">
        <v>4</v>
      </c>
      <c r="D64" s="15">
        <v>5.5</v>
      </c>
      <c r="E64" s="14">
        <v>72</v>
      </c>
      <c r="F64" s="15">
        <v>14.3</v>
      </c>
      <c r="G64" s="27" t="s">
        <v>712</v>
      </c>
      <c r="H64" s="28">
        <v>2900</v>
      </c>
      <c r="I64" s="38" t="s">
        <v>707</v>
      </c>
      <c r="J64" s="39">
        <v>50</v>
      </c>
      <c r="K64" s="42">
        <f>0.48*0.3*0.42</f>
        <v>6.0479999999999992E-2</v>
      </c>
      <c r="L64" s="102"/>
      <c r="M64" s="73">
        <v>1168.461</v>
      </c>
    </row>
    <row r="65" spans="2:13" ht="15" thickBot="1">
      <c r="B65" s="13" t="s">
        <v>1584</v>
      </c>
      <c r="C65" s="14">
        <v>5.5</v>
      </c>
      <c r="D65" s="15">
        <v>7.5</v>
      </c>
      <c r="E65" s="14">
        <v>90</v>
      </c>
      <c r="F65" s="15">
        <v>16.5</v>
      </c>
      <c r="G65" s="27" t="s">
        <v>712</v>
      </c>
      <c r="H65" s="28">
        <v>2900</v>
      </c>
      <c r="I65" s="38" t="s">
        <v>707</v>
      </c>
      <c r="J65" s="39">
        <v>50</v>
      </c>
      <c r="K65" s="42">
        <f>0.48*0.3*0.42</f>
        <v>6.0479999999999992E-2</v>
      </c>
      <c r="L65" s="102"/>
      <c r="M65" s="73">
        <v>1361.598</v>
      </c>
    </row>
    <row r="66" spans="2:13" ht="15" thickBot="1">
      <c r="B66" s="13" t="s">
        <v>1585</v>
      </c>
      <c r="C66" s="14">
        <v>7.5</v>
      </c>
      <c r="D66" s="15">
        <v>10</v>
      </c>
      <c r="E66" s="14">
        <v>90</v>
      </c>
      <c r="F66" s="15">
        <v>22.5</v>
      </c>
      <c r="G66" s="27" t="s">
        <v>712</v>
      </c>
      <c r="H66" s="28">
        <v>2900</v>
      </c>
      <c r="I66" s="38" t="s">
        <v>707</v>
      </c>
      <c r="J66" s="39">
        <v>50</v>
      </c>
      <c r="K66" s="42">
        <f>0.48*0.3*0.42</f>
        <v>6.0479999999999992E-2</v>
      </c>
      <c r="L66" s="102"/>
      <c r="M66" s="73">
        <v>1403.01</v>
      </c>
    </row>
    <row r="67" spans="2:13" ht="15" thickBot="1">
      <c r="B67" s="13" t="s">
        <v>1586</v>
      </c>
      <c r="C67" s="14">
        <v>11</v>
      </c>
      <c r="D67" s="15">
        <v>15</v>
      </c>
      <c r="E67" s="14">
        <v>90</v>
      </c>
      <c r="F67" s="15">
        <v>27.3</v>
      </c>
      <c r="G67" s="27" t="s">
        <v>712</v>
      </c>
      <c r="H67" s="28">
        <v>2900</v>
      </c>
      <c r="I67" s="38" t="s">
        <v>707</v>
      </c>
      <c r="J67" s="39">
        <v>54</v>
      </c>
      <c r="K67" s="42">
        <f>0.5*0.37*0.48</f>
        <v>8.879999999999999E-2</v>
      </c>
      <c r="L67" s="102"/>
      <c r="M67" s="73">
        <v>2150.5680000000002</v>
      </c>
    </row>
    <row r="68" spans="2:13" ht="15" thickBot="1">
      <c r="B68" s="13" t="s">
        <v>1587</v>
      </c>
      <c r="C68" s="14">
        <v>15</v>
      </c>
      <c r="D68" s="15">
        <v>20</v>
      </c>
      <c r="E68" s="14">
        <v>144</v>
      </c>
      <c r="F68" s="15">
        <v>27</v>
      </c>
      <c r="G68" s="27" t="s">
        <v>712</v>
      </c>
      <c r="H68" s="28">
        <v>2900</v>
      </c>
      <c r="I68" s="38" t="s">
        <v>707</v>
      </c>
      <c r="J68" s="39">
        <v>54</v>
      </c>
      <c r="K68" s="42">
        <f>0.5*0.37*0.48</f>
        <v>8.879999999999999E-2</v>
      </c>
      <c r="L68" s="102"/>
      <c r="M68" s="73">
        <v>2251.2419999999997</v>
      </c>
    </row>
    <row r="69" spans="2:13" ht="15" thickBot="1">
      <c r="B69" s="13" t="s">
        <v>1588</v>
      </c>
      <c r="C69" s="14">
        <v>18.5</v>
      </c>
      <c r="D69" s="15">
        <v>25</v>
      </c>
      <c r="E69" s="14">
        <v>144</v>
      </c>
      <c r="F69" s="15">
        <v>33.6</v>
      </c>
      <c r="G69" s="27" t="s">
        <v>712</v>
      </c>
      <c r="H69" s="28">
        <v>2900</v>
      </c>
      <c r="I69" s="38" t="s">
        <v>707</v>
      </c>
      <c r="J69" s="39">
        <v>54</v>
      </c>
      <c r="K69" s="42">
        <f>0.5*0.37*0.48</f>
        <v>8.879999999999999E-2</v>
      </c>
      <c r="L69" s="102"/>
      <c r="M69" s="73">
        <v>2431.8840000000005</v>
      </c>
    </row>
    <row r="70" spans="2:13" ht="15" thickBot="1">
      <c r="B70" s="13" t="s">
        <v>1589</v>
      </c>
      <c r="C70" s="14">
        <v>22</v>
      </c>
      <c r="D70" s="15">
        <v>30</v>
      </c>
      <c r="E70" s="14">
        <v>144</v>
      </c>
      <c r="F70" s="15">
        <v>38.6</v>
      </c>
      <c r="G70" s="27" t="s">
        <v>712</v>
      </c>
      <c r="H70" s="28">
        <v>2900</v>
      </c>
      <c r="I70" s="38" t="s">
        <v>707</v>
      </c>
      <c r="J70" s="39">
        <v>55</v>
      </c>
      <c r="K70" s="42">
        <f>0.5*0.37*0.48</f>
        <v>8.879999999999999E-2</v>
      </c>
      <c r="L70" s="102"/>
      <c r="M70" s="73">
        <v>2833.866</v>
      </c>
    </row>
    <row r="71" spans="2:13" ht="15" thickBot="1">
      <c r="B71" s="13" t="s">
        <v>1590</v>
      </c>
      <c r="C71" s="14">
        <v>22</v>
      </c>
      <c r="D71" s="15">
        <v>30</v>
      </c>
      <c r="E71" s="14">
        <v>144</v>
      </c>
      <c r="F71" s="15">
        <v>39.200000000000003</v>
      </c>
      <c r="G71" s="27" t="s">
        <v>712</v>
      </c>
      <c r="H71" s="28">
        <v>2900</v>
      </c>
      <c r="I71" s="38" t="s">
        <v>707</v>
      </c>
      <c r="J71" s="39">
        <v>72</v>
      </c>
      <c r="K71" s="42">
        <f>0.66*0.35*0.46</f>
        <v>0.10625999999999999</v>
      </c>
      <c r="L71" s="102"/>
      <c r="M71" s="73">
        <v>2952.0330000000004</v>
      </c>
    </row>
    <row r="72" spans="2:13" ht="15" thickBot="1">
      <c r="B72" s="13" t="s">
        <v>1591</v>
      </c>
      <c r="C72" s="14">
        <v>30</v>
      </c>
      <c r="D72" s="15">
        <v>40</v>
      </c>
      <c r="E72" s="14">
        <v>144</v>
      </c>
      <c r="F72" s="15">
        <v>53.1</v>
      </c>
      <c r="G72" s="27" t="s">
        <v>712</v>
      </c>
      <c r="H72" s="28">
        <v>2900</v>
      </c>
      <c r="I72" s="38" t="s">
        <v>707</v>
      </c>
      <c r="J72" s="39">
        <v>72</v>
      </c>
      <c r="K72" s="42">
        <f>0.66*0.35*0.46</f>
        <v>0.10625999999999999</v>
      </c>
      <c r="L72" s="102"/>
      <c r="M72" s="73">
        <v>3622.8359999999998</v>
      </c>
    </row>
    <row r="73" spans="2:13" ht="15" thickBot="1">
      <c r="B73" s="13" t="s">
        <v>1592</v>
      </c>
      <c r="C73" s="14">
        <v>37</v>
      </c>
      <c r="D73" s="15">
        <v>50</v>
      </c>
      <c r="E73" s="14">
        <v>144</v>
      </c>
      <c r="F73" s="15">
        <v>59.3</v>
      </c>
      <c r="G73" s="27" t="s">
        <v>712</v>
      </c>
      <c r="H73" s="28">
        <v>2900</v>
      </c>
      <c r="I73" s="38" t="s">
        <v>707</v>
      </c>
      <c r="J73" s="39">
        <v>89</v>
      </c>
      <c r="K73" s="42">
        <f>0.66*0.4*0.54</f>
        <v>0.14256000000000002</v>
      </c>
      <c r="L73" s="102"/>
      <c r="M73" s="73">
        <v>3914.8619999999996</v>
      </c>
    </row>
    <row r="74" spans="2:13" ht="15" thickBot="1">
      <c r="B74" s="13" t="s">
        <v>1593</v>
      </c>
      <c r="C74" s="14">
        <v>45</v>
      </c>
      <c r="D74" s="15">
        <v>60</v>
      </c>
      <c r="E74" s="14">
        <v>144</v>
      </c>
      <c r="F74" s="15">
        <v>78.5</v>
      </c>
      <c r="G74" s="27" t="s">
        <v>712</v>
      </c>
      <c r="H74" s="28">
        <v>2900</v>
      </c>
      <c r="I74" s="38" t="s">
        <v>707</v>
      </c>
      <c r="J74" s="39">
        <v>89</v>
      </c>
      <c r="K74" s="42">
        <f>0.66*0.4*0.54</f>
        <v>0.14256000000000002</v>
      </c>
      <c r="L74" s="102"/>
      <c r="M74" s="73">
        <v>5009.0669999999991</v>
      </c>
    </row>
    <row r="75" spans="2:13" ht="15" thickBot="1">
      <c r="B75" s="13" t="s">
        <v>1594</v>
      </c>
      <c r="C75" s="14">
        <v>55</v>
      </c>
      <c r="D75" s="15">
        <v>75</v>
      </c>
      <c r="E75" s="14">
        <v>144</v>
      </c>
      <c r="F75" s="15">
        <v>87</v>
      </c>
      <c r="G75" s="27" t="s">
        <v>712</v>
      </c>
      <c r="H75" s="28">
        <v>2900</v>
      </c>
      <c r="I75" s="38" t="s">
        <v>707</v>
      </c>
      <c r="J75" s="39">
        <v>89</v>
      </c>
      <c r="K75" s="42">
        <f>0.66*0.4*0.54</f>
        <v>0.14256000000000002</v>
      </c>
      <c r="L75" s="102"/>
      <c r="M75" s="334" t="s">
        <v>1260</v>
      </c>
    </row>
    <row r="76" spans="2:13" ht="15" thickBot="1">
      <c r="B76" s="13" t="s">
        <v>1595</v>
      </c>
      <c r="C76" s="14">
        <v>75</v>
      </c>
      <c r="D76" s="15">
        <v>100</v>
      </c>
      <c r="E76" s="14">
        <v>144</v>
      </c>
      <c r="F76" s="15">
        <v>101</v>
      </c>
      <c r="G76" s="27" t="s">
        <v>712</v>
      </c>
      <c r="H76" s="28">
        <v>2900</v>
      </c>
      <c r="I76" s="38" t="s">
        <v>707</v>
      </c>
      <c r="J76" s="39">
        <v>89</v>
      </c>
      <c r="K76" s="42">
        <f>0.66*0.4*0.54</f>
        <v>0.14256000000000002</v>
      </c>
      <c r="L76" s="102"/>
      <c r="M76" s="335"/>
    </row>
    <row r="77" spans="2:13" ht="15" thickBot="1">
      <c r="B77" s="13" t="s">
        <v>1596</v>
      </c>
      <c r="C77" s="14">
        <v>45</v>
      </c>
      <c r="D77" s="15">
        <v>60</v>
      </c>
      <c r="E77" s="14">
        <v>144</v>
      </c>
      <c r="F77" s="15">
        <v>78</v>
      </c>
      <c r="G77" s="27" t="s">
        <v>712</v>
      </c>
      <c r="H77" s="28">
        <v>2900</v>
      </c>
      <c r="I77" s="38" t="s">
        <v>707</v>
      </c>
      <c r="J77" s="39">
        <v>141</v>
      </c>
      <c r="K77" s="42">
        <f>0.38*0.72*0.75</f>
        <v>0.20519999999999999</v>
      </c>
      <c r="L77" s="102"/>
      <c r="M77" s="73">
        <v>5458.1730000000007</v>
      </c>
    </row>
    <row r="78" spans="2:13" ht="15" thickBot="1">
      <c r="B78" s="13" t="s">
        <v>1597</v>
      </c>
      <c r="C78" s="14">
        <v>55</v>
      </c>
      <c r="D78" s="15">
        <v>75</v>
      </c>
      <c r="E78" s="14">
        <v>144</v>
      </c>
      <c r="F78" s="15">
        <v>91</v>
      </c>
      <c r="G78" s="27" t="s">
        <v>712</v>
      </c>
      <c r="H78" s="28">
        <v>2900</v>
      </c>
      <c r="I78" s="38" t="s">
        <v>707</v>
      </c>
      <c r="J78" s="39">
        <v>142</v>
      </c>
      <c r="K78" s="42">
        <f>0.38*0.72*0.75</f>
        <v>0.20519999999999999</v>
      </c>
      <c r="L78" s="102"/>
      <c r="M78" s="334" t="s">
        <v>1260</v>
      </c>
    </row>
    <row r="79" spans="2:13" ht="15" thickBot="1">
      <c r="B79" s="13" t="s">
        <v>1598</v>
      </c>
      <c r="C79" s="14">
        <v>75</v>
      </c>
      <c r="D79" s="15">
        <v>100</v>
      </c>
      <c r="E79" s="14">
        <v>180</v>
      </c>
      <c r="F79" s="15">
        <v>107.3</v>
      </c>
      <c r="G79" s="27" t="s">
        <v>712</v>
      </c>
      <c r="H79" s="28">
        <v>2900</v>
      </c>
      <c r="I79" s="38" t="s">
        <v>707</v>
      </c>
      <c r="J79" s="39">
        <v>143</v>
      </c>
      <c r="K79" s="42">
        <f>0.38*0.72*0.75</f>
        <v>0.20519999999999999</v>
      </c>
      <c r="L79" s="102"/>
      <c r="M79" s="335"/>
    </row>
    <row r="80" spans="2:13" ht="15" thickBot="1">
      <c r="B80" s="13" t="s">
        <v>1599</v>
      </c>
      <c r="C80" s="14">
        <v>90</v>
      </c>
      <c r="D80" s="15">
        <v>125</v>
      </c>
      <c r="E80" s="14">
        <v>180</v>
      </c>
      <c r="F80" s="15">
        <v>127.3</v>
      </c>
      <c r="G80" s="27" t="s">
        <v>712</v>
      </c>
      <c r="H80" s="28">
        <v>2900</v>
      </c>
      <c r="I80" s="38" t="s">
        <v>707</v>
      </c>
      <c r="J80" s="39">
        <v>144</v>
      </c>
      <c r="K80" s="42">
        <f>0.38*0.72*0.75</f>
        <v>0.20519999999999999</v>
      </c>
      <c r="L80" s="102"/>
      <c r="M80" s="335"/>
    </row>
    <row r="81" spans="2:13" ht="15" thickBot="1">
      <c r="B81" s="13" t="s">
        <v>1600</v>
      </c>
      <c r="C81" s="14">
        <v>110</v>
      </c>
      <c r="D81" s="15">
        <v>150</v>
      </c>
      <c r="E81" s="14">
        <v>180</v>
      </c>
      <c r="F81" s="15">
        <v>136.30000000000001</v>
      </c>
      <c r="G81" s="27" t="s">
        <v>712</v>
      </c>
      <c r="H81" s="28">
        <v>2900</v>
      </c>
      <c r="I81" s="38" t="s">
        <v>707</v>
      </c>
      <c r="J81" s="39">
        <v>144</v>
      </c>
      <c r="K81" s="42">
        <f>0.38*0.72*0.75</f>
        <v>0.20519999999999999</v>
      </c>
      <c r="L81" s="102"/>
      <c r="M81" s="335"/>
    </row>
    <row r="82" spans="2:13" ht="15" customHeight="1" thickBot="1">
      <c r="B82" s="13" t="s">
        <v>1601</v>
      </c>
      <c r="C82" s="14">
        <v>15</v>
      </c>
      <c r="D82" s="15">
        <v>20</v>
      </c>
      <c r="E82" s="14">
        <v>180</v>
      </c>
      <c r="F82" s="15">
        <v>24.5</v>
      </c>
      <c r="G82" s="27" t="s">
        <v>713</v>
      </c>
      <c r="H82" s="28">
        <v>2900</v>
      </c>
      <c r="I82" s="38" t="s">
        <v>707</v>
      </c>
      <c r="J82" s="39">
        <v>68</v>
      </c>
      <c r="K82" s="42">
        <f>0.5*0.38*0.58</f>
        <v>0.11019999999999999</v>
      </c>
      <c r="L82" s="102"/>
      <c r="M82" s="73">
        <v>2258.7390000000005</v>
      </c>
    </row>
    <row r="83" spans="2:13" ht="15" thickBot="1">
      <c r="B83" s="13" t="s">
        <v>1602</v>
      </c>
      <c r="C83" s="14">
        <v>18.5</v>
      </c>
      <c r="D83" s="15">
        <v>25</v>
      </c>
      <c r="E83" s="14">
        <v>180</v>
      </c>
      <c r="F83" s="15">
        <v>29</v>
      </c>
      <c r="G83" s="27" t="s">
        <v>713</v>
      </c>
      <c r="H83" s="28">
        <v>2900</v>
      </c>
      <c r="I83" s="38" t="s">
        <v>707</v>
      </c>
      <c r="J83" s="39">
        <v>68</v>
      </c>
      <c r="K83" s="42">
        <f>0.5*0.38*0.58</f>
        <v>0.11019999999999999</v>
      </c>
      <c r="L83" s="102"/>
      <c r="M83" s="73">
        <v>2480.0790000000002</v>
      </c>
    </row>
    <row r="84" spans="2:13" ht="15" thickBot="1">
      <c r="B84" s="13" t="s">
        <v>1603</v>
      </c>
      <c r="C84" s="14">
        <v>22</v>
      </c>
      <c r="D84" s="15">
        <v>30</v>
      </c>
      <c r="E84" s="14">
        <v>180</v>
      </c>
      <c r="F84" s="15">
        <v>31.5</v>
      </c>
      <c r="G84" s="27" t="s">
        <v>713</v>
      </c>
      <c r="H84" s="28">
        <v>2900</v>
      </c>
      <c r="I84" s="38" t="s">
        <v>707</v>
      </c>
      <c r="J84" s="39">
        <v>68</v>
      </c>
      <c r="K84" s="42">
        <f>0.5*0.38*0.58</f>
        <v>0.11019999999999999</v>
      </c>
      <c r="L84" s="102"/>
      <c r="M84" s="73">
        <v>2901.3390000000004</v>
      </c>
    </row>
    <row r="85" spans="2:13" ht="15" thickBot="1">
      <c r="B85" s="13" t="s">
        <v>1604</v>
      </c>
      <c r="C85" s="14">
        <v>22</v>
      </c>
      <c r="D85" s="15">
        <v>30</v>
      </c>
      <c r="E85" s="14">
        <v>200</v>
      </c>
      <c r="F85" s="15">
        <v>26.8</v>
      </c>
      <c r="G85" s="27" t="s">
        <v>713</v>
      </c>
      <c r="H85" s="28">
        <v>2900</v>
      </c>
      <c r="I85" s="38" t="s">
        <v>707</v>
      </c>
      <c r="J85" s="39">
        <v>84</v>
      </c>
      <c r="K85" s="42">
        <f>0.66*0.38*0.54</f>
        <v>0.13543200000000002</v>
      </c>
      <c r="L85" s="102"/>
      <c r="M85" s="73">
        <v>3131.9609999999998</v>
      </c>
    </row>
    <row r="86" spans="2:13" ht="15" thickBot="1">
      <c r="B86" s="13" t="s">
        <v>1605</v>
      </c>
      <c r="C86" s="14">
        <v>30</v>
      </c>
      <c r="D86" s="15">
        <v>40</v>
      </c>
      <c r="E86" s="14">
        <v>200</v>
      </c>
      <c r="F86" s="15">
        <v>34.200000000000003</v>
      </c>
      <c r="G86" s="27" t="s">
        <v>713</v>
      </c>
      <c r="H86" s="28">
        <v>2900</v>
      </c>
      <c r="I86" s="38" t="s">
        <v>707</v>
      </c>
      <c r="J86" s="39">
        <v>84</v>
      </c>
      <c r="K86" s="42">
        <f>0.66*0.38*0.54</f>
        <v>0.13543200000000002</v>
      </c>
      <c r="L86" s="102"/>
      <c r="M86" s="73">
        <v>3755.9969999999994</v>
      </c>
    </row>
    <row r="87" spans="2:13" ht="15" thickBot="1">
      <c r="B87" s="13" t="s">
        <v>1606</v>
      </c>
      <c r="C87" s="14">
        <v>37</v>
      </c>
      <c r="D87" s="15">
        <v>50</v>
      </c>
      <c r="E87" s="14">
        <v>200</v>
      </c>
      <c r="F87" s="15">
        <v>45</v>
      </c>
      <c r="G87" s="27" t="s">
        <v>713</v>
      </c>
      <c r="H87" s="28">
        <v>2900</v>
      </c>
      <c r="I87" s="38" t="s">
        <v>707</v>
      </c>
      <c r="J87" s="39">
        <v>84</v>
      </c>
      <c r="K87" s="42">
        <f>0.66*0.38*0.54</f>
        <v>0.13543200000000002</v>
      </c>
      <c r="L87" s="102"/>
      <c r="M87" s="73">
        <v>4122.9930000000004</v>
      </c>
    </row>
    <row r="88" spans="2:13" ht="15" thickBot="1">
      <c r="B88" s="13" t="s">
        <v>1607</v>
      </c>
      <c r="C88" s="14">
        <v>45</v>
      </c>
      <c r="D88" s="15">
        <v>60</v>
      </c>
      <c r="E88" s="14">
        <v>200</v>
      </c>
      <c r="F88" s="15">
        <v>51</v>
      </c>
      <c r="G88" s="27" t="s">
        <v>713</v>
      </c>
      <c r="H88" s="28">
        <v>2900</v>
      </c>
      <c r="I88" s="38" t="s">
        <v>707</v>
      </c>
      <c r="J88" s="39">
        <v>84</v>
      </c>
      <c r="K88" s="42">
        <f>0.66*0.38*0.54</f>
        <v>0.13543200000000002</v>
      </c>
      <c r="L88" s="102"/>
      <c r="M88" s="73">
        <v>5057.9760000000006</v>
      </c>
    </row>
    <row r="89" spans="2:13" ht="15" thickBot="1">
      <c r="B89" s="13" t="s">
        <v>1608</v>
      </c>
      <c r="C89" s="14">
        <v>45</v>
      </c>
      <c r="D89" s="15">
        <v>60</v>
      </c>
      <c r="E89" s="14">
        <v>200</v>
      </c>
      <c r="F89" s="15">
        <v>56</v>
      </c>
      <c r="G89" s="27" t="s">
        <v>713</v>
      </c>
      <c r="H89" s="28">
        <v>2900</v>
      </c>
      <c r="I89" s="38" t="s">
        <v>707</v>
      </c>
      <c r="J89" s="39">
        <v>99</v>
      </c>
      <c r="K89" s="42">
        <f>0.68*0.42*0.56</f>
        <v>0.15993600000000002</v>
      </c>
      <c r="L89" s="102"/>
      <c r="M89" s="73">
        <v>5130.09</v>
      </c>
    </row>
    <row r="90" spans="2:13" ht="15" thickBot="1">
      <c r="B90" s="13" t="s">
        <v>1609</v>
      </c>
      <c r="C90" s="14">
        <v>55</v>
      </c>
      <c r="D90" s="15">
        <v>75</v>
      </c>
      <c r="E90" s="14">
        <v>200</v>
      </c>
      <c r="F90" s="15">
        <v>71.7</v>
      </c>
      <c r="G90" s="27" t="s">
        <v>713</v>
      </c>
      <c r="H90" s="28">
        <v>2900</v>
      </c>
      <c r="I90" s="38" t="s">
        <v>707</v>
      </c>
      <c r="J90" s="39">
        <v>99</v>
      </c>
      <c r="K90" s="42">
        <f>0.68*0.42*0.56</f>
        <v>0.15993600000000002</v>
      </c>
      <c r="L90" s="102"/>
      <c r="M90" s="334" t="s">
        <v>1260</v>
      </c>
    </row>
    <row r="91" spans="2:13" ht="15" thickBot="1">
      <c r="B91" s="13" t="s">
        <v>1610</v>
      </c>
      <c r="C91" s="14">
        <v>75</v>
      </c>
      <c r="D91" s="15">
        <v>100</v>
      </c>
      <c r="E91" s="14">
        <v>240</v>
      </c>
      <c r="F91" s="15">
        <v>78</v>
      </c>
      <c r="G91" s="27" t="s">
        <v>713</v>
      </c>
      <c r="H91" s="28">
        <v>2900</v>
      </c>
      <c r="I91" s="38" t="s">
        <v>707</v>
      </c>
      <c r="J91" s="39">
        <v>99</v>
      </c>
      <c r="K91" s="42">
        <f>0.68*0.42*0.56</f>
        <v>0.15993600000000002</v>
      </c>
      <c r="L91" s="102"/>
      <c r="M91" s="335"/>
    </row>
    <row r="92" spans="2:13" ht="15" thickBot="1">
      <c r="B92" s="13" t="s">
        <v>1611</v>
      </c>
      <c r="C92" s="14">
        <v>90</v>
      </c>
      <c r="D92" s="15">
        <v>125</v>
      </c>
      <c r="E92" s="14">
        <v>240</v>
      </c>
      <c r="F92" s="15">
        <v>87</v>
      </c>
      <c r="G92" s="27" t="s">
        <v>713</v>
      </c>
      <c r="H92" s="28">
        <v>2900</v>
      </c>
      <c r="I92" s="38" t="s">
        <v>707</v>
      </c>
      <c r="J92" s="39">
        <v>99</v>
      </c>
      <c r="K92" s="42">
        <f>0.68*0.42*0.56</f>
        <v>0.15993600000000002</v>
      </c>
      <c r="L92" s="102"/>
      <c r="M92" s="335"/>
    </row>
    <row r="93" spans="2:13" ht="15" thickBot="1">
      <c r="B93" s="13" t="s">
        <v>1612</v>
      </c>
      <c r="C93" s="14">
        <v>75</v>
      </c>
      <c r="D93" s="15">
        <v>100</v>
      </c>
      <c r="E93" s="14">
        <v>240</v>
      </c>
      <c r="F93" s="15">
        <v>70.7</v>
      </c>
      <c r="G93" s="27" t="s">
        <v>713</v>
      </c>
      <c r="H93" s="28">
        <v>2900</v>
      </c>
      <c r="I93" s="38" t="s">
        <v>707</v>
      </c>
      <c r="J93" s="39">
        <v>174</v>
      </c>
      <c r="K93" s="42">
        <f>0.5*0.62*0.75</f>
        <v>0.23249999999999998</v>
      </c>
      <c r="L93" s="102"/>
      <c r="M93" s="335"/>
    </row>
    <row r="94" spans="2:13" ht="15" thickBot="1">
      <c r="B94" s="13" t="s">
        <v>1613</v>
      </c>
      <c r="C94" s="14">
        <v>90</v>
      </c>
      <c r="D94" s="15">
        <v>125</v>
      </c>
      <c r="E94" s="14">
        <v>240</v>
      </c>
      <c r="F94" s="15">
        <v>90.7</v>
      </c>
      <c r="G94" s="27" t="s">
        <v>713</v>
      </c>
      <c r="H94" s="28">
        <v>2900</v>
      </c>
      <c r="I94" s="38" t="s">
        <v>707</v>
      </c>
      <c r="J94" s="39">
        <v>175</v>
      </c>
      <c r="K94" s="42">
        <f>0.5*0.62*0.75</f>
        <v>0.23249999999999998</v>
      </c>
      <c r="L94" s="102"/>
      <c r="M94" s="335"/>
    </row>
    <row r="95" spans="2:13" ht="15" thickBot="1">
      <c r="B95" s="13" t="s">
        <v>1614</v>
      </c>
      <c r="C95" s="14">
        <v>110</v>
      </c>
      <c r="D95" s="15">
        <v>150</v>
      </c>
      <c r="E95" s="14">
        <v>240</v>
      </c>
      <c r="F95" s="15">
        <v>108.7</v>
      </c>
      <c r="G95" s="27" t="s">
        <v>713</v>
      </c>
      <c r="H95" s="28">
        <v>2900</v>
      </c>
      <c r="I95" s="38" t="s">
        <v>707</v>
      </c>
      <c r="J95" s="39">
        <v>176</v>
      </c>
      <c r="K95" s="42">
        <f>0.5*0.62*0.75</f>
        <v>0.23249999999999998</v>
      </c>
      <c r="L95" s="102"/>
      <c r="M95" s="335"/>
    </row>
    <row r="96" spans="2:13" ht="15" thickBot="1">
      <c r="B96" s="13" t="s">
        <v>1615</v>
      </c>
      <c r="C96" s="14">
        <v>132</v>
      </c>
      <c r="D96" s="15">
        <v>180</v>
      </c>
      <c r="E96" s="14">
        <v>240</v>
      </c>
      <c r="F96" s="15">
        <v>119.7</v>
      </c>
      <c r="G96" s="27" t="s">
        <v>713</v>
      </c>
      <c r="H96" s="28">
        <v>2900</v>
      </c>
      <c r="I96" s="38" t="s">
        <v>707</v>
      </c>
      <c r="J96" s="39">
        <v>177</v>
      </c>
      <c r="K96" s="42">
        <f>0.5*0.62*0.75</f>
        <v>0.23249999999999998</v>
      </c>
      <c r="L96" s="102"/>
      <c r="M96" s="335"/>
    </row>
    <row r="97" spans="2:13" ht="15" thickBot="1">
      <c r="B97" s="13" t="s">
        <v>1616</v>
      </c>
      <c r="C97" s="14">
        <v>160</v>
      </c>
      <c r="D97" s="15">
        <v>220</v>
      </c>
      <c r="E97" s="14">
        <v>240</v>
      </c>
      <c r="F97" s="15">
        <v>138.69999999999999</v>
      </c>
      <c r="G97" s="27" t="s">
        <v>713</v>
      </c>
      <c r="H97" s="28">
        <v>2900</v>
      </c>
      <c r="I97" s="38" t="s">
        <v>707</v>
      </c>
      <c r="J97" s="39">
        <v>177</v>
      </c>
      <c r="K97" s="42">
        <f>0.5*0.62*0.75</f>
        <v>0.23249999999999998</v>
      </c>
      <c r="L97" s="102"/>
      <c r="M97" s="335"/>
    </row>
    <row r="98" spans="2:13" ht="15" thickBot="1">
      <c r="B98" s="13" t="s">
        <v>1617</v>
      </c>
      <c r="C98" s="14">
        <v>45</v>
      </c>
      <c r="D98" s="15">
        <v>60</v>
      </c>
      <c r="E98" s="14">
        <v>280</v>
      </c>
      <c r="F98" s="15">
        <v>35</v>
      </c>
      <c r="G98" s="27" t="s">
        <v>714</v>
      </c>
      <c r="H98" s="28">
        <v>2900</v>
      </c>
      <c r="I98" s="38" t="s">
        <v>707</v>
      </c>
      <c r="J98" s="39">
        <v>126</v>
      </c>
      <c r="K98" s="42">
        <f>0.63*0.48*0.67</f>
        <v>0.20260800000000001</v>
      </c>
      <c r="L98" s="102"/>
      <c r="M98" s="73">
        <v>5251.1130000000003</v>
      </c>
    </row>
    <row r="99" spans="2:13" ht="15" thickBot="1">
      <c r="B99" s="13" t="s">
        <v>1618</v>
      </c>
      <c r="C99" s="14">
        <v>55</v>
      </c>
      <c r="D99" s="15">
        <v>75</v>
      </c>
      <c r="E99" s="14">
        <v>280</v>
      </c>
      <c r="F99" s="15">
        <v>45</v>
      </c>
      <c r="G99" s="27" t="s">
        <v>714</v>
      </c>
      <c r="H99" s="28">
        <v>2900</v>
      </c>
      <c r="I99" s="38" t="s">
        <v>707</v>
      </c>
      <c r="J99" s="39">
        <v>127</v>
      </c>
      <c r="K99" s="42">
        <f>0.63*0.48*0.67</f>
        <v>0.20260800000000001</v>
      </c>
      <c r="L99" s="102"/>
      <c r="M99" s="334" t="s">
        <v>1260</v>
      </c>
    </row>
    <row r="100" spans="2:13" ht="15" thickBot="1">
      <c r="B100" s="13" t="s">
        <v>1619</v>
      </c>
      <c r="C100" s="14">
        <v>75</v>
      </c>
      <c r="D100" s="15">
        <v>100</v>
      </c>
      <c r="E100" s="14">
        <v>280</v>
      </c>
      <c r="F100" s="15">
        <v>56</v>
      </c>
      <c r="G100" s="27" t="s">
        <v>714</v>
      </c>
      <c r="H100" s="28">
        <v>2900</v>
      </c>
      <c r="I100" s="38" t="s">
        <v>707</v>
      </c>
      <c r="J100" s="39">
        <v>128</v>
      </c>
      <c r="K100" s="42">
        <f>0.63*0.48*0.67</f>
        <v>0.20260800000000001</v>
      </c>
      <c r="L100" s="102"/>
      <c r="M100" s="335"/>
    </row>
    <row r="101" spans="2:13" ht="15" thickBot="1">
      <c r="B101" s="13" t="s">
        <v>1620</v>
      </c>
      <c r="C101" s="14">
        <v>55</v>
      </c>
      <c r="D101" s="15">
        <v>75</v>
      </c>
      <c r="E101" s="14">
        <v>200</v>
      </c>
      <c r="F101" s="15">
        <v>63</v>
      </c>
      <c r="G101" s="27" t="s">
        <v>714</v>
      </c>
      <c r="H101" s="28">
        <v>2900</v>
      </c>
      <c r="I101" s="38" t="s">
        <v>707</v>
      </c>
      <c r="J101" s="39">
        <v>158</v>
      </c>
      <c r="K101" s="42">
        <f>0.65*0.49*0.71</f>
        <v>0.226135</v>
      </c>
      <c r="L101" s="102"/>
      <c r="M101" s="335"/>
    </row>
    <row r="102" spans="2:13" ht="15" thickBot="1">
      <c r="B102" s="13" t="s">
        <v>1621</v>
      </c>
      <c r="C102" s="14">
        <v>75</v>
      </c>
      <c r="D102" s="15">
        <v>100</v>
      </c>
      <c r="E102" s="14">
        <v>240</v>
      </c>
      <c r="F102" s="15">
        <v>70</v>
      </c>
      <c r="G102" s="27" t="s">
        <v>714</v>
      </c>
      <c r="H102" s="28">
        <v>2900</v>
      </c>
      <c r="I102" s="38" t="s">
        <v>707</v>
      </c>
      <c r="J102" s="39">
        <v>159</v>
      </c>
      <c r="K102" s="42">
        <f>0.65*0.49*0.71</f>
        <v>0.226135</v>
      </c>
      <c r="L102" s="102"/>
      <c r="M102" s="335"/>
    </row>
    <row r="103" spans="2:13" ht="15" thickBot="1">
      <c r="B103" s="13" t="s">
        <v>1622</v>
      </c>
      <c r="C103" s="14">
        <v>90</v>
      </c>
      <c r="D103" s="15">
        <v>125</v>
      </c>
      <c r="E103" s="14">
        <v>280</v>
      </c>
      <c r="F103" s="15">
        <v>73.5</v>
      </c>
      <c r="G103" s="27" t="s">
        <v>714</v>
      </c>
      <c r="H103" s="28">
        <v>2900</v>
      </c>
      <c r="I103" s="38" t="s">
        <v>707</v>
      </c>
      <c r="J103" s="39">
        <v>160</v>
      </c>
      <c r="K103" s="42">
        <f>0.65*0.49*0.71</f>
        <v>0.226135</v>
      </c>
      <c r="L103" s="102"/>
      <c r="M103" s="335"/>
    </row>
    <row r="104" spans="2:13" ht="15" thickBot="1">
      <c r="B104" s="13" t="s">
        <v>1623</v>
      </c>
      <c r="C104" s="14">
        <v>110</v>
      </c>
      <c r="D104" s="15">
        <v>150</v>
      </c>
      <c r="E104" s="14">
        <v>280</v>
      </c>
      <c r="F104" s="15">
        <v>84</v>
      </c>
      <c r="G104" s="27" t="s">
        <v>714</v>
      </c>
      <c r="H104" s="28">
        <v>2900</v>
      </c>
      <c r="I104" s="38" t="s">
        <v>707</v>
      </c>
      <c r="J104" s="39">
        <v>161</v>
      </c>
      <c r="K104" s="42">
        <f>0.65*0.49*0.71</f>
        <v>0.226135</v>
      </c>
      <c r="L104" s="102"/>
      <c r="M104" s="335"/>
    </row>
    <row r="105" spans="2:13" ht="15" customHeight="1" thickBot="1">
      <c r="B105" s="13" t="s">
        <v>1624</v>
      </c>
      <c r="C105" s="14">
        <v>90</v>
      </c>
      <c r="D105" s="15">
        <v>125</v>
      </c>
      <c r="E105" s="14">
        <v>300</v>
      </c>
      <c r="F105" s="15">
        <v>59.600000000000009</v>
      </c>
      <c r="G105" s="27" t="s">
        <v>714</v>
      </c>
      <c r="H105" s="28">
        <v>2900</v>
      </c>
      <c r="I105" s="38" t="s">
        <v>707</v>
      </c>
      <c r="J105" s="39">
        <v>173</v>
      </c>
      <c r="K105" s="42">
        <f>0.72*0.49*0.71</f>
        <v>0.25048799999999999</v>
      </c>
      <c r="L105" s="102"/>
      <c r="M105" s="335"/>
    </row>
    <row r="106" spans="2:13" ht="15" thickBot="1">
      <c r="B106" s="13" t="s">
        <v>1625</v>
      </c>
      <c r="C106" s="14">
        <v>110</v>
      </c>
      <c r="D106" s="15">
        <v>150</v>
      </c>
      <c r="E106" s="14">
        <v>360</v>
      </c>
      <c r="F106" s="15">
        <v>68</v>
      </c>
      <c r="G106" s="27" t="s">
        <v>714</v>
      </c>
      <c r="H106" s="28">
        <v>2900</v>
      </c>
      <c r="I106" s="38" t="s">
        <v>707</v>
      </c>
      <c r="J106" s="39">
        <v>173</v>
      </c>
      <c r="K106" s="42">
        <f>0.72*0.49*0.71</f>
        <v>0.25048799999999999</v>
      </c>
      <c r="L106" s="102"/>
      <c r="M106" s="335"/>
    </row>
    <row r="107" spans="2:13" ht="15" thickBot="1">
      <c r="B107" s="13" t="s">
        <v>1626</v>
      </c>
      <c r="C107" s="14">
        <v>132</v>
      </c>
      <c r="D107" s="15">
        <v>180</v>
      </c>
      <c r="E107" s="14">
        <v>360</v>
      </c>
      <c r="F107" s="15">
        <v>78</v>
      </c>
      <c r="G107" s="27" t="s">
        <v>714</v>
      </c>
      <c r="H107" s="28">
        <v>2900</v>
      </c>
      <c r="I107" s="38" t="s">
        <v>707</v>
      </c>
      <c r="J107" s="39">
        <v>173</v>
      </c>
      <c r="K107" s="42">
        <f>0.72*0.49*0.71</f>
        <v>0.25048799999999999</v>
      </c>
      <c r="L107" s="102"/>
      <c r="M107" s="335"/>
    </row>
    <row r="108" spans="2:13" ht="15" thickBot="1">
      <c r="B108" s="13" t="s">
        <v>1627</v>
      </c>
      <c r="C108" s="14">
        <v>160</v>
      </c>
      <c r="D108" s="15">
        <v>220</v>
      </c>
      <c r="E108" s="14">
        <v>400</v>
      </c>
      <c r="F108" s="15">
        <v>90</v>
      </c>
      <c r="G108" s="27" t="s">
        <v>714</v>
      </c>
      <c r="H108" s="28">
        <v>2900</v>
      </c>
      <c r="I108" s="38" t="s">
        <v>707</v>
      </c>
      <c r="J108" s="39">
        <v>173</v>
      </c>
      <c r="K108" s="42">
        <f>0.72*0.49*0.71</f>
        <v>0.25048799999999999</v>
      </c>
      <c r="L108" s="102"/>
      <c r="M108" s="335"/>
    </row>
    <row r="109" spans="2:13" ht="15" thickBot="1">
      <c r="B109" s="13" t="s">
        <v>1628</v>
      </c>
      <c r="C109" s="14">
        <v>132</v>
      </c>
      <c r="D109" s="15">
        <v>180</v>
      </c>
      <c r="E109" s="14">
        <v>300</v>
      </c>
      <c r="F109" s="15">
        <v>93.5</v>
      </c>
      <c r="G109" s="27" t="s">
        <v>714</v>
      </c>
      <c r="H109" s="28">
        <v>2900</v>
      </c>
      <c r="I109" s="38" t="s">
        <v>707</v>
      </c>
      <c r="J109" s="39">
        <v>211</v>
      </c>
      <c r="K109" s="42">
        <f>0.72*0.55*0.75</f>
        <v>0.29700000000000004</v>
      </c>
      <c r="L109" s="102"/>
      <c r="M109" s="335"/>
    </row>
    <row r="110" spans="2:13" ht="15" thickBot="1">
      <c r="B110" s="13" t="s">
        <v>1629</v>
      </c>
      <c r="C110" s="14">
        <v>160</v>
      </c>
      <c r="D110" s="15">
        <v>220</v>
      </c>
      <c r="E110" s="14">
        <v>360</v>
      </c>
      <c r="F110" s="15">
        <v>107.8</v>
      </c>
      <c r="G110" s="27" t="s">
        <v>714</v>
      </c>
      <c r="H110" s="28">
        <v>2900</v>
      </c>
      <c r="I110" s="38" t="s">
        <v>707</v>
      </c>
      <c r="J110" s="39">
        <v>213</v>
      </c>
      <c r="K110" s="42">
        <f>0.72*0.55*0.75</f>
        <v>0.29700000000000004</v>
      </c>
      <c r="L110" s="102"/>
      <c r="M110" s="335"/>
    </row>
    <row r="111" spans="2:13" ht="15" thickBot="1">
      <c r="B111" s="13" t="s">
        <v>1630</v>
      </c>
      <c r="C111" s="14">
        <v>185</v>
      </c>
      <c r="D111" s="15">
        <v>250</v>
      </c>
      <c r="E111" s="14">
        <v>360</v>
      </c>
      <c r="F111" s="15">
        <v>120.8</v>
      </c>
      <c r="G111" s="27" t="s">
        <v>714</v>
      </c>
      <c r="H111" s="28">
        <v>2900</v>
      </c>
      <c r="I111" s="38" t="s">
        <v>707</v>
      </c>
      <c r="J111" s="39">
        <v>214</v>
      </c>
      <c r="K111" s="42">
        <f>0.72*0.55*0.75</f>
        <v>0.29700000000000004</v>
      </c>
      <c r="L111" s="102"/>
      <c r="M111" s="335"/>
    </row>
    <row r="112" spans="2:13" ht="15" thickBot="1">
      <c r="B112" s="13" t="s">
        <v>1631</v>
      </c>
      <c r="C112" s="14">
        <v>200</v>
      </c>
      <c r="D112" s="15">
        <v>270</v>
      </c>
      <c r="E112" s="14">
        <v>360</v>
      </c>
      <c r="F112" s="15">
        <v>131.80000000000001</v>
      </c>
      <c r="G112" s="27" t="s">
        <v>714</v>
      </c>
      <c r="H112" s="28">
        <v>2900</v>
      </c>
      <c r="I112" s="38" t="s">
        <v>707</v>
      </c>
      <c r="J112" s="39">
        <v>215</v>
      </c>
      <c r="K112" s="42">
        <f>0.72*0.55*0.75</f>
        <v>0.29700000000000004</v>
      </c>
      <c r="L112" s="102"/>
      <c r="M112" s="335"/>
    </row>
    <row r="113" spans="2:13" ht="15" thickBot="1">
      <c r="B113" s="13" t="s">
        <v>1632</v>
      </c>
      <c r="C113" s="14">
        <v>75</v>
      </c>
      <c r="D113" s="15">
        <v>100</v>
      </c>
      <c r="E113" s="14">
        <v>400</v>
      </c>
      <c r="F113" s="15">
        <v>44.6</v>
      </c>
      <c r="G113" s="27" t="s">
        <v>715</v>
      </c>
      <c r="H113" s="28">
        <v>2900</v>
      </c>
      <c r="I113" s="38" t="s">
        <v>707</v>
      </c>
      <c r="J113" s="39">
        <v>188</v>
      </c>
      <c r="K113" s="42">
        <f>0.65*0.62*0.79</f>
        <v>0.31837000000000004</v>
      </c>
      <c r="L113" s="102"/>
      <c r="M113" s="335"/>
    </row>
    <row r="114" spans="2:13" ht="15" thickBot="1">
      <c r="B114" s="13" t="s">
        <v>1633</v>
      </c>
      <c r="C114" s="14">
        <v>90</v>
      </c>
      <c r="D114" s="15">
        <v>125</v>
      </c>
      <c r="E114" s="14">
        <v>500</v>
      </c>
      <c r="F114" s="15">
        <v>48</v>
      </c>
      <c r="G114" s="27" t="s">
        <v>715</v>
      </c>
      <c r="H114" s="28">
        <v>2900</v>
      </c>
      <c r="I114" s="38" t="s">
        <v>707</v>
      </c>
      <c r="J114" s="39">
        <v>189</v>
      </c>
      <c r="K114" s="42">
        <f>0.65*0.62*0.79</f>
        <v>0.31837000000000004</v>
      </c>
      <c r="L114" s="102"/>
      <c r="M114" s="335"/>
    </row>
    <row r="115" spans="2:13" ht="15" thickBot="1">
      <c r="B115" s="13" t="s">
        <v>1634</v>
      </c>
      <c r="C115" s="14">
        <v>110</v>
      </c>
      <c r="D115" s="15">
        <v>150</v>
      </c>
      <c r="E115" s="14">
        <v>500</v>
      </c>
      <c r="F115" s="15">
        <v>57.2</v>
      </c>
      <c r="G115" s="27" t="s">
        <v>715</v>
      </c>
      <c r="H115" s="28">
        <v>2900</v>
      </c>
      <c r="I115" s="38" t="s">
        <v>707</v>
      </c>
      <c r="J115" s="39">
        <v>190</v>
      </c>
      <c r="K115" s="42">
        <f>0.65*0.62*0.79</f>
        <v>0.31837000000000004</v>
      </c>
      <c r="L115" s="102"/>
      <c r="M115" s="335"/>
    </row>
    <row r="116" spans="2:13" ht="15" thickBot="1">
      <c r="B116" s="13" t="s">
        <v>1635</v>
      </c>
      <c r="C116" s="14">
        <v>132</v>
      </c>
      <c r="D116" s="15">
        <v>180</v>
      </c>
      <c r="E116" s="14">
        <v>500</v>
      </c>
      <c r="F116" s="15">
        <v>63.2</v>
      </c>
      <c r="G116" s="27" t="s">
        <v>715</v>
      </c>
      <c r="H116" s="28">
        <v>2900</v>
      </c>
      <c r="I116" s="38" t="s">
        <v>707</v>
      </c>
      <c r="J116" s="39">
        <v>191</v>
      </c>
      <c r="K116" s="42">
        <f>0.65*0.62*0.79</f>
        <v>0.31837000000000004</v>
      </c>
      <c r="L116" s="102"/>
      <c r="M116" s="335"/>
    </row>
    <row r="117" spans="2:13" ht="15" thickBot="1">
      <c r="B117" s="13" t="s">
        <v>1636</v>
      </c>
      <c r="C117" s="14">
        <v>160</v>
      </c>
      <c r="D117" s="15">
        <v>220</v>
      </c>
      <c r="E117" s="14">
        <v>500</v>
      </c>
      <c r="F117" s="15">
        <v>69.2</v>
      </c>
      <c r="G117" s="27" t="s">
        <v>715</v>
      </c>
      <c r="H117" s="28">
        <v>2900</v>
      </c>
      <c r="I117" s="38" t="s">
        <v>707</v>
      </c>
      <c r="J117" s="39">
        <v>192</v>
      </c>
      <c r="K117" s="42">
        <f>0.65*0.62*0.79</f>
        <v>0.31837000000000004</v>
      </c>
      <c r="L117" s="102"/>
      <c r="M117" s="335"/>
    </row>
    <row r="118" spans="2:13" ht="15" thickBot="1">
      <c r="B118" s="13" t="s">
        <v>1637</v>
      </c>
      <c r="C118" s="14">
        <v>110</v>
      </c>
      <c r="D118" s="15">
        <v>150</v>
      </c>
      <c r="E118" s="14">
        <v>500</v>
      </c>
      <c r="F118" s="15">
        <v>55.8</v>
      </c>
      <c r="G118" s="27" t="s">
        <v>715</v>
      </c>
      <c r="H118" s="28">
        <v>2900</v>
      </c>
      <c r="I118" s="38" t="s">
        <v>707</v>
      </c>
      <c r="J118" s="39">
        <v>204</v>
      </c>
      <c r="K118" s="42">
        <f>0.72*0.6*0.8</f>
        <v>0.34560000000000002</v>
      </c>
      <c r="L118" s="102"/>
      <c r="M118" s="335"/>
    </row>
    <row r="119" spans="2:13" ht="15" thickBot="1">
      <c r="B119" s="13" t="s">
        <v>1638</v>
      </c>
      <c r="C119" s="14">
        <v>132</v>
      </c>
      <c r="D119" s="15">
        <v>180</v>
      </c>
      <c r="E119" s="14">
        <v>660</v>
      </c>
      <c r="F119" s="15">
        <v>62</v>
      </c>
      <c r="G119" s="27" t="s">
        <v>715</v>
      </c>
      <c r="H119" s="28">
        <v>2900</v>
      </c>
      <c r="I119" s="38" t="s">
        <v>707</v>
      </c>
      <c r="J119" s="39">
        <v>205</v>
      </c>
      <c r="K119" s="42">
        <f>0.72*0.6*0.8</f>
        <v>0.34560000000000002</v>
      </c>
      <c r="L119" s="102"/>
      <c r="M119" s="335"/>
    </row>
    <row r="120" spans="2:13" ht="15" thickBot="1">
      <c r="B120" s="13" t="s">
        <v>1639</v>
      </c>
      <c r="C120" s="14">
        <v>160</v>
      </c>
      <c r="D120" s="15">
        <v>220</v>
      </c>
      <c r="E120" s="14">
        <v>660</v>
      </c>
      <c r="F120" s="15">
        <v>75</v>
      </c>
      <c r="G120" s="27" t="s">
        <v>715</v>
      </c>
      <c r="H120" s="28">
        <v>2900</v>
      </c>
      <c r="I120" s="38" t="s">
        <v>707</v>
      </c>
      <c r="J120" s="39">
        <v>206</v>
      </c>
      <c r="K120" s="42">
        <f>0.72*0.6*0.8</f>
        <v>0.34560000000000002</v>
      </c>
      <c r="L120" s="102"/>
      <c r="M120" s="335"/>
    </row>
    <row r="121" spans="2:13" ht="15" thickBot="1">
      <c r="B121" s="13" t="s">
        <v>1640</v>
      </c>
      <c r="C121" s="14">
        <v>200</v>
      </c>
      <c r="D121" s="15">
        <v>270</v>
      </c>
      <c r="E121" s="14">
        <v>660</v>
      </c>
      <c r="F121" s="15">
        <v>85</v>
      </c>
      <c r="G121" s="27" t="s">
        <v>715</v>
      </c>
      <c r="H121" s="28">
        <v>2900</v>
      </c>
      <c r="I121" s="38" t="s">
        <v>707</v>
      </c>
      <c r="J121" s="39">
        <v>207</v>
      </c>
      <c r="K121" s="42">
        <f>0.72*0.6*0.8</f>
        <v>0.34560000000000002</v>
      </c>
      <c r="L121" s="102"/>
      <c r="M121" s="335"/>
    </row>
    <row r="122" spans="2:13" ht="15" thickBot="1">
      <c r="B122" s="13" t="s">
        <v>1641</v>
      </c>
      <c r="C122" s="14">
        <v>185</v>
      </c>
      <c r="D122" s="15">
        <v>250</v>
      </c>
      <c r="E122" s="14">
        <v>500</v>
      </c>
      <c r="F122" s="15">
        <v>82.8</v>
      </c>
      <c r="G122" s="27" t="s">
        <v>715</v>
      </c>
      <c r="H122" s="28">
        <v>2900</v>
      </c>
      <c r="I122" s="38" t="s">
        <v>707</v>
      </c>
      <c r="J122" s="39">
        <v>224</v>
      </c>
      <c r="K122" s="42">
        <f>0.75*0.6*0.85</f>
        <v>0.38249999999999995</v>
      </c>
      <c r="L122" s="102"/>
      <c r="M122" s="335"/>
    </row>
    <row r="123" spans="2:13" ht="15" thickBot="1">
      <c r="B123" s="13" t="s">
        <v>1642</v>
      </c>
      <c r="C123" s="14">
        <v>250</v>
      </c>
      <c r="D123" s="15">
        <v>340</v>
      </c>
      <c r="E123" s="14">
        <v>660</v>
      </c>
      <c r="F123" s="15">
        <v>92</v>
      </c>
      <c r="G123" s="27" t="s">
        <v>715</v>
      </c>
      <c r="H123" s="28">
        <v>2900</v>
      </c>
      <c r="I123" s="38" t="s">
        <v>707</v>
      </c>
      <c r="J123" s="39">
        <v>225</v>
      </c>
      <c r="K123" s="42">
        <f>0.75*0.6*0.85</f>
        <v>0.38249999999999995</v>
      </c>
      <c r="L123" s="102"/>
      <c r="M123" s="335"/>
    </row>
    <row r="124" spans="2:13" ht="15" thickBot="1">
      <c r="B124" s="13" t="s">
        <v>1643</v>
      </c>
      <c r="C124" s="14">
        <v>280</v>
      </c>
      <c r="D124" s="15">
        <v>380</v>
      </c>
      <c r="E124" s="14">
        <v>660</v>
      </c>
      <c r="F124" s="15">
        <v>105</v>
      </c>
      <c r="G124" s="27" t="s">
        <v>715</v>
      </c>
      <c r="H124" s="28">
        <v>2900</v>
      </c>
      <c r="I124" s="38" t="s">
        <v>707</v>
      </c>
      <c r="J124" s="39">
        <v>226</v>
      </c>
      <c r="K124" s="42">
        <f>0.75*0.6*0.85</f>
        <v>0.38249999999999995</v>
      </c>
      <c r="L124" s="102"/>
      <c r="M124" s="335"/>
    </row>
    <row r="125" spans="2:13" ht="15" thickBot="1">
      <c r="B125" s="13" t="s">
        <v>1644</v>
      </c>
      <c r="C125" s="14">
        <v>315</v>
      </c>
      <c r="D125" s="15">
        <v>430</v>
      </c>
      <c r="E125" s="14">
        <v>660</v>
      </c>
      <c r="F125" s="15">
        <v>118</v>
      </c>
      <c r="G125" s="27" t="s">
        <v>715</v>
      </c>
      <c r="H125" s="28">
        <v>2900</v>
      </c>
      <c r="I125" s="38" t="s">
        <v>707</v>
      </c>
      <c r="J125" s="39">
        <v>227</v>
      </c>
      <c r="K125" s="42">
        <f>0.75*0.6*0.85</f>
        <v>0.38249999999999995</v>
      </c>
      <c r="L125" s="102"/>
      <c r="M125" s="335"/>
    </row>
    <row r="126" spans="2:13" ht="15" thickBot="1">
      <c r="B126" s="13" t="s">
        <v>1645</v>
      </c>
      <c r="C126" s="14">
        <v>1.1000000000000001</v>
      </c>
      <c r="D126" s="15">
        <v>1.5</v>
      </c>
      <c r="E126" s="14">
        <v>45</v>
      </c>
      <c r="F126" s="15">
        <v>6.3</v>
      </c>
      <c r="G126" s="27" t="s">
        <v>711</v>
      </c>
      <c r="H126" s="28">
        <v>1450</v>
      </c>
      <c r="I126" s="38" t="s">
        <v>707</v>
      </c>
      <c r="J126" s="39">
        <v>49</v>
      </c>
      <c r="K126" s="42">
        <f>0.48*0.3*0.42</f>
        <v>6.0479999999999992E-2</v>
      </c>
      <c r="L126" s="102"/>
      <c r="M126" s="73">
        <v>1084.9229999999998</v>
      </c>
    </row>
    <row r="127" spans="2:13" ht="15" thickBot="1">
      <c r="B127" s="13" t="s">
        <v>1646</v>
      </c>
      <c r="C127" s="14">
        <v>1.5</v>
      </c>
      <c r="D127" s="15">
        <v>2</v>
      </c>
      <c r="E127" s="14">
        <v>45</v>
      </c>
      <c r="F127" s="15">
        <v>7.4</v>
      </c>
      <c r="G127" s="27" t="s">
        <v>711</v>
      </c>
      <c r="H127" s="28">
        <v>1450</v>
      </c>
      <c r="I127" s="38" t="s">
        <v>707</v>
      </c>
      <c r="J127" s="39">
        <v>49</v>
      </c>
      <c r="K127" s="42">
        <f>0.48*0.3*0.42</f>
        <v>6.0479999999999992E-2</v>
      </c>
      <c r="L127" s="102"/>
      <c r="M127" s="73">
        <v>1124.55</v>
      </c>
    </row>
    <row r="128" spans="2:13" ht="15" thickBot="1">
      <c r="B128" s="13" t="s">
        <v>1647</v>
      </c>
      <c r="C128" s="14">
        <v>2.2000000000000002</v>
      </c>
      <c r="D128" s="15">
        <v>3</v>
      </c>
      <c r="E128" s="14">
        <v>45</v>
      </c>
      <c r="F128" s="15">
        <v>9</v>
      </c>
      <c r="G128" s="27" t="s">
        <v>711</v>
      </c>
      <c r="H128" s="28">
        <v>1450</v>
      </c>
      <c r="I128" s="38" t="s">
        <v>707</v>
      </c>
      <c r="J128" s="39">
        <v>49</v>
      </c>
      <c r="K128" s="42">
        <f>0.48*0.3*0.42</f>
        <v>6.0479999999999992E-2</v>
      </c>
      <c r="L128" s="102"/>
      <c r="M128" s="73">
        <v>1275.5609999999999</v>
      </c>
    </row>
    <row r="129" spans="2:13" ht="15" thickBot="1">
      <c r="B129" s="13" t="s">
        <v>1648</v>
      </c>
      <c r="C129" s="14">
        <v>1.5</v>
      </c>
      <c r="D129" s="15">
        <v>2</v>
      </c>
      <c r="E129" s="14">
        <v>45</v>
      </c>
      <c r="F129" s="15">
        <v>8.1999999999999993</v>
      </c>
      <c r="G129" s="27" t="s">
        <v>711</v>
      </c>
      <c r="H129" s="28">
        <v>1450</v>
      </c>
      <c r="I129" s="38" t="s">
        <v>707</v>
      </c>
      <c r="J129" s="39">
        <v>55</v>
      </c>
      <c r="K129" s="42">
        <f>0.48*0.34*0.42</f>
        <v>6.8544000000000008E-2</v>
      </c>
      <c r="L129" s="102"/>
      <c r="M129" s="73">
        <v>1177.029</v>
      </c>
    </row>
    <row r="130" spans="2:13" ht="15" thickBot="1">
      <c r="B130" s="13" t="s">
        <v>1649</v>
      </c>
      <c r="C130" s="14">
        <v>2.2000000000000002</v>
      </c>
      <c r="D130" s="15">
        <v>3</v>
      </c>
      <c r="E130" s="14">
        <v>45</v>
      </c>
      <c r="F130" s="15">
        <v>11</v>
      </c>
      <c r="G130" s="27" t="s">
        <v>711</v>
      </c>
      <c r="H130" s="28">
        <v>1450</v>
      </c>
      <c r="I130" s="38" t="s">
        <v>707</v>
      </c>
      <c r="J130" s="39">
        <v>55</v>
      </c>
      <c r="K130" s="42">
        <f>0.48*0.34*0.42</f>
        <v>6.8544000000000008E-2</v>
      </c>
      <c r="L130" s="102"/>
      <c r="M130" s="73">
        <v>1289.4840000000002</v>
      </c>
    </row>
    <row r="131" spans="2:13" ht="15" thickBot="1">
      <c r="B131" s="13" t="s">
        <v>1650</v>
      </c>
      <c r="C131" s="14">
        <v>3</v>
      </c>
      <c r="D131" s="15">
        <v>4</v>
      </c>
      <c r="E131" s="14">
        <v>45</v>
      </c>
      <c r="F131" s="15">
        <v>13.1</v>
      </c>
      <c r="G131" s="27" t="s">
        <v>711</v>
      </c>
      <c r="H131" s="28">
        <v>1450</v>
      </c>
      <c r="I131" s="38" t="s">
        <v>707</v>
      </c>
      <c r="J131" s="39">
        <v>55</v>
      </c>
      <c r="K131" s="42">
        <f>0.48*0.34*0.42</f>
        <v>6.8544000000000008E-2</v>
      </c>
      <c r="L131" s="102"/>
      <c r="M131" s="73">
        <v>1443.7079999999999</v>
      </c>
    </row>
    <row r="132" spans="2:13" ht="15" thickBot="1">
      <c r="B132" s="13" t="s">
        <v>1651</v>
      </c>
      <c r="C132" s="14">
        <v>3</v>
      </c>
      <c r="D132" s="15">
        <v>4</v>
      </c>
      <c r="E132" s="14">
        <v>45</v>
      </c>
      <c r="F132" s="15">
        <v>12.6</v>
      </c>
      <c r="G132" s="27" t="s">
        <v>711</v>
      </c>
      <c r="H132" s="28">
        <v>1450</v>
      </c>
      <c r="I132" s="38" t="s">
        <v>707</v>
      </c>
      <c r="J132" s="39">
        <v>78</v>
      </c>
      <c r="K132" s="42">
        <f>0.59*0.36*0.5</f>
        <v>0.10619999999999999</v>
      </c>
      <c r="L132" s="102"/>
      <c r="M132" s="73">
        <v>1508.6820000000002</v>
      </c>
    </row>
    <row r="133" spans="2:13" ht="15" thickBot="1">
      <c r="B133" s="13" t="s">
        <v>1652</v>
      </c>
      <c r="C133" s="14">
        <v>4</v>
      </c>
      <c r="D133" s="15">
        <v>5.5</v>
      </c>
      <c r="E133" s="14">
        <v>45</v>
      </c>
      <c r="F133" s="15">
        <v>16.899999999999999</v>
      </c>
      <c r="G133" s="27" t="s">
        <v>711</v>
      </c>
      <c r="H133" s="28">
        <v>1450</v>
      </c>
      <c r="I133" s="38" t="s">
        <v>707</v>
      </c>
      <c r="J133" s="39">
        <v>78</v>
      </c>
      <c r="K133" s="42">
        <f>0.59*0.36*0.5</f>
        <v>0.10619999999999999</v>
      </c>
      <c r="L133" s="102"/>
      <c r="M133" s="73">
        <v>1595.433</v>
      </c>
    </row>
    <row r="134" spans="2:13" ht="15" thickBot="1">
      <c r="B134" s="13" t="s">
        <v>1653</v>
      </c>
      <c r="C134" s="14">
        <v>5.5</v>
      </c>
      <c r="D134" s="15">
        <v>7.5</v>
      </c>
      <c r="E134" s="14">
        <v>45</v>
      </c>
      <c r="F134" s="15">
        <v>19.899999999999999</v>
      </c>
      <c r="G134" s="27" t="s">
        <v>711</v>
      </c>
      <c r="H134" s="28">
        <v>1450</v>
      </c>
      <c r="I134" s="38" t="s">
        <v>707</v>
      </c>
      <c r="J134" s="39">
        <v>78</v>
      </c>
      <c r="K134" s="42">
        <f>0.59*0.36*0.5</f>
        <v>0.10619999999999999</v>
      </c>
      <c r="L134" s="102"/>
      <c r="M134" s="73">
        <v>1949.22</v>
      </c>
    </row>
    <row r="135" spans="2:13" ht="15" thickBot="1">
      <c r="B135" s="13" t="s">
        <v>1654</v>
      </c>
      <c r="C135" s="14">
        <v>4</v>
      </c>
      <c r="D135" s="15">
        <v>5.5</v>
      </c>
      <c r="E135" s="14">
        <v>42</v>
      </c>
      <c r="F135" s="15">
        <v>16.7</v>
      </c>
      <c r="G135" s="27" t="s">
        <v>711</v>
      </c>
      <c r="H135" s="28">
        <v>1450</v>
      </c>
      <c r="I135" s="38" t="s">
        <v>707</v>
      </c>
      <c r="J135" s="39">
        <v>133</v>
      </c>
      <c r="K135" s="42">
        <f>0.65*0.48*0.65</f>
        <v>0.20280000000000001</v>
      </c>
      <c r="L135" s="102"/>
      <c r="M135" s="73">
        <v>2118.0809999999997</v>
      </c>
    </row>
    <row r="136" spans="2:13" ht="15" thickBot="1">
      <c r="B136" s="13" t="s">
        <v>1655</v>
      </c>
      <c r="C136" s="14">
        <v>5.5</v>
      </c>
      <c r="D136" s="15">
        <v>7.5</v>
      </c>
      <c r="E136" s="14">
        <v>45</v>
      </c>
      <c r="F136" s="15">
        <v>20.2</v>
      </c>
      <c r="G136" s="27" t="s">
        <v>711</v>
      </c>
      <c r="H136" s="28">
        <v>1450</v>
      </c>
      <c r="I136" s="38" t="s">
        <v>707</v>
      </c>
      <c r="J136" s="39">
        <v>133</v>
      </c>
      <c r="K136" s="42">
        <f>0.65*0.48*0.65</f>
        <v>0.20280000000000001</v>
      </c>
      <c r="L136" s="102"/>
      <c r="M136" s="73">
        <v>2273.0190000000002</v>
      </c>
    </row>
    <row r="137" spans="2:13" ht="15" thickBot="1">
      <c r="B137" s="13" t="s">
        <v>1656</v>
      </c>
      <c r="C137" s="14">
        <v>7.5</v>
      </c>
      <c r="D137" s="15">
        <v>10</v>
      </c>
      <c r="E137" s="14">
        <v>45</v>
      </c>
      <c r="F137" s="15">
        <v>24.9</v>
      </c>
      <c r="G137" s="27" t="s">
        <v>711</v>
      </c>
      <c r="H137" s="28">
        <v>1450</v>
      </c>
      <c r="I137" s="38" t="s">
        <v>707</v>
      </c>
      <c r="J137" s="39">
        <v>133</v>
      </c>
      <c r="K137" s="42">
        <f>0.65*0.48*0.65</f>
        <v>0.20280000000000001</v>
      </c>
      <c r="L137" s="102"/>
      <c r="M137" s="73">
        <v>2392.9709999999995</v>
      </c>
    </row>
    <row r="138" spans="2:13" ht="15" thickBot="1">
      <c r="B138" s="13" t="s">
        <v>1657</v>
      </c>
      <c r="C138" s="14">
        <v>11</v>
      </c>
      <c r="D138" s="15">
        <v>15</v>
      </c>
      <c r="E138" s="14">
        <v>72</v>
      </c>
      <c r="F138" s="15">
        <v>30.2</v>
      </c>
      <c r="G138" s="27" t="s">
        <v>711</v>
      </c>
      <c r="H138" s="28">
        <v>1450</v>
      </c>
      <c r="I138" s="38" t="s">
        <v>707</v>
      </c>
      <c r="J138" s="39">
        <v>133</v>
      </c>
      <c r="K138" s="42">
        <f>0.65*0.48*0.65</f>
        <v>0.20280000000000001</v>
      </c>
      <c r="L138" s="102"/>
      <c r="M138" s="73">
        <v>2766.0359999999996</v>
      </c>
    </row>
    <row r="139" spans="2:13" ht="15" thickBot="1">
      <c r="B139" s="13" t="s">
        <v>1658</v>
      </c>
      <c r="C139" s="14">
        <v>15</v>
      </c>
      <c r="D139" s="15">
        <v>20</v>
      </c>
      <c r="E139" s="14">
        <v>72</v>
      </c>
      <c r="F139" s="15">
        <v>35.4</v>
      </c>
      <c r="G139" s="27" t="s">
        <v>711</v>
      </c>
      <c r="H139" s="28">
        <v>1450</v>
      </c>
      <c r="I139" s="38" t="s">
        <v>707</v>
      </c>
      <c r="J139" s="39">
        <v>133</v>
      </c>
      <c r="K139" s="42">
        <f>0.65*0.48*0.65</f>
        <v>0.20280000000000001</v>
      </c>
      <c r="L139" s="102"/>
      <c r="M139" s="73">
        <v>2952.0330000000004</v>
      </c>
    </row>
    <row r="140" spans="2:13" ht="15" thickBot="1">
      <c r="B140" s="13" t="s">
        <v>1659</v>
      </c>
      <c r="C140" s="14">
        <v>1.5</v>
      </c>
      <c r="D140" s="15">
        <v>2</v>
      </c>
      <c r="E140" s="14">
        <v>60</v>
      </c>
      <c r="F140" s="15">
        <v>6.4</v>
      </c>
      <c r="G140" s="27" t="s">
        <v>712</v>
      </c>
      <c r="H140" s="28">
        <v>1450</v>
      </c>
      <c r="I140" s="38" t="s">
        <v>707</v>
      </c>
      <c r="J140" s="39">
        <v>54</v>
      </c>
      <c r="K140" s="42">
        <f>0.5*0.37*0.48</f>
        <v>8.879999999999999E-2</v>
      </c>
      <c r="L140" s="102"/>
      <c r="M140" s="73">
        <v>1269.135</v>
      </c>
    </row>
    <row r="141" spans="2:13" ht="15" thickBot="1">
      <c r="B141" s="13" t="s">
        <v>1660</v>
      </c>
      <c r="C141" s="14">
        <v>2.2000000000000002</v>
      </c>
      <c r="D141" s="15">
        <v>3</v>
      </c>
      <c r="E141" s="14">
        <v>72</v>
      </c>
      <c r="F141" s="15">
        <v>7.4</v>
      </c>
      <c r="G141" s="27" t="s">
        <v>712</v>
      </c>
      <c r="H141" s="28">
        <v>1450</v>
      </c>
      <c r="I141" s="38" t="s">
        <v>707</v>
      </c>
      <c r="J141" s="39">
        <v>54</v>
      </c>
      <c r="K141" s="42">
        <f>0.5*0.37*0.48</f>
        <v>8.879999999999999E-2</v>
      </c>
      <c r="L141" s="102"/>
      <c r="M141" s="73">
        <v>1384.0890000000002</v>
      </c>
    </row>
    <row r="142" spans="2:13" ht="15" thickBot="1">
      <c r="B142" s="13" t="s">
        <v>1661</v>
      </c>
      <c r="C142" s="14">
        <v>3</v>
      </c>
      <c r="D142" s="15">
        <v>4</v>
      </c>
      <c r="E142" s="14">
        <v>60</v>
      </c>
      <c r="F142" s="15">
        <v>10.1</v>
      </c>
      <c r="G142" s="27" t="s">
        <v>712</v>
      </c>
      <c r="H142" s="28">
        <v>1450</v>
      </c>
      <c r="I142" s="38" t="s">
        <v>707</v>
      </c>
      <c r="J142" s="39">
        <v>72</v>
      </c>
      <c r="K142" s="42">
        <f>0.66*0.35*0.46</f>
        <v>0.10625999999999999</v>
      </c>
      <c r="L142" s="102"/>
      <c r="M142" s="73">
        <v>1564.731</v>
      </c>
    </row>
    <row r="143" spans="2:13" ht="15" thickBot="1">
      <c r="B143" s="13" t="s">
        <v>1662</v>
      </c>
      <c r="C143" s="14">
        <v>4</v>
      </c>
      <c r="D143" s="15">
        <v>5.5</v>
      </c>
      <c r="E143" s="14">
        <v>72</v>
      </c>
      <c r="F143" s="15">
        <v>12.4</v>
      </c>
      <c r="G143" s="27" t="s">
        <v>712</v>
      </c>
      <c r="H143" s="28">
        <v>1450</v>
      </c>
      <c r="I143" s="38" t="s">
        <v>707</v>
      </c>
      <c r="J143" s="39">
        <v>72</v>
      </c>
      <c r="K143" s="42">
        <f>0.66*0.35*0.46</f>
        <v>0.10625999999999999</v>
      </c>
      <c r="L143" s="102"/>
      <c r="M143" s="73">
        <v>1651.125</v>
      </c>
    </row>
    <row r="144" spans="2:13" ht="15" thickBot="1">
      <c r="B144" s="13" t="s">
        <v>1663</v>
      </c>
      <c r="C144" s="14">
        <v>4</v>
      </c>
      <c r="D144" s="15">
        <v>5.5</v>
      </c>
      <c r="E144" s="14">
        <v>60</v>
      </c>
      <c r="F144" s="15">
        <v>14.8</v>
      </c>
      <c r="G144" s="27" t="s">
        <v>712</v>
      </c>
      <c r="H144" s="28">
        <v>1450</v>
      </c>
      <c r="I144" s="38" t="s">
        <v>707</v>
      </c>
      <c r="J144" s="39">
        <v>89</v>
      </c>
      <c r="K144" s="42">
        <f>0.66*0.4*0.54</f>
        <v>0.14256000000000002</v>
      </c>
      <c r="L144" s="102"/>
      <c r="M144" s="73">
        <v>1794.6390000000001</v>
      </c>
    </row>
    <row r="145" spans="2:13" ht="15" thickBot="1">
      <c r="B145" s="13" t="s">
        <v>1664</v>
      </c>
      <c r="C145" s="14">
        <v>5.5</v>
      </c>
      <c r="D145" s="15">
        <v>7.5</v>
      </c>
      <c r="E145" s="14">
        <v>72</v>
      </c>
      <c r="F145" s="15">
        <v>17.2</v>
      </c>
      <c r="G145" s="27" t="s">
        <v>712</v>
      </c>
      <c r="H145" s="28">
        <v>1450</v>
      </c>
      <c r="I145" s="38" t="s">
        <v>707</v>
      </c>
      <c r="J145" s="39">
        <v>89</v>
      </c>
      <c r="K145" s="42">
        <f>0.66*0.4*0.54</f>
        <v>0.14256000000000002</v>
      </c>
      <c r="L145" s="102"/>
      <c r="M145" s="73">
        <v>1955.6459999999997</v>
      </c>
    </row>
    <row r="146" spans="2:13" ht="15" thickBot="1">
      <c r="B146" s="13" t="s">
        <v>1665</v>
      </c>
      <c r="C146" s="14">
        <v>7.5</v>
      </c>
      <c r="D146" s="15">
        <v>10</v>
      </c>
      <c r="E146" s="14">
        <v>72</v>
      </c>
      <c r="F146" s="15">
        <v>21.3</v>
      </c>
      <c r="G146" s="27" t="s">
        <v>712</v>
      </c>
      <c r="H146" s="28">
        <v>1450</v>
      </c>
      <c r="I146" s="38" t="s">
        <v>707</v>
      </c>
      <c r="J146" s="39">
        <v>89</v>
      </c>
      <c r="K146" s="42">
        <f>0.66*0.4*0.54</f>
        <v>0.14256000000000002</v>
      </c>
      <c r="L146" s="102"/>
      <c r="M146" s="73">
        <v>2081.31</v>
      </c>
    </row>
    <row r="147" spans="2:13" ht="15" thickBot="1">
      <c r="B147" s="13" t="s">
        <v>1666</v>
      </c>
      <c r="C147" s="14">
        <v>11</v>
      </c>
      <c r="D147" s="15">
        <v>15</v>
      </c>
      <c r="E147" s="14">
        <v>84</v>
      </c>
      <c r="F147" s="15">
        <v>23.9</v>
      </c>
      <c r="G147" s="27" t="s">
        <v>712</v>
      </c>
      <c r="H147" s="28">
        <v>1450</v>
      </c>
      <c r="I147" s="38" t="s">
        <v>707</v>
      </c>
      <c r="J147" s="39">
        <v>89</v>
      </c>
      <c r="K147" s="42">
        <f>0.66*0.4*0.54</f>
        <v>0.14256000000000002</v>
      </c>
      <c r="L147" s="102"/>
      <c r="M147" s="73">
        <v>2691.78</v>
      </c>
    </row>
    <row r="148" spans="2:13" ht="15" thickBot="1">
      <c r="B148" s="13" t="s">
        <v>1667</v>
      </c>
      <c r="C148" s="14">
        <v>5.5</v>
      </c>
      <c r="D148" s="15">
        <v>7.5</v>
      </c>
      <c r="E148" s="14">
        <v>72</v>
      </c>
      <c r="F148" s="15">
        <v>16.8</v>
      </c>
      <c r="G148" s="27" t="s">
        <v>712</v>
      </c>
      <c r="H148" s="28">
        <v>1450</v>
      </c>
      <c r="I148" s="38" t="s">
        <v>707</v>
      </c>
      <c r="J148" s="39">
        <v>141</v>
      </c>
      <c r="K148" s="42">
        <f>0.38*0.72*0.75</f>
        <v>0.20519999999999999</v>
      </c>
      <c r="L148" s="102"/>
      <c r="M148" s="73">
        <v>2561.8319999999999</v>
      </c>
    </row>
    <row r="149" spans="2:13" ht="15" thickBot="1">
      <c r="B149" s="13" t="s">
        <v>1668</v>
      </c>
      <c r="C149" s="14">
        <v>7.5</v>
      </c>
      <c r="D149" s="15">
        <v>10</v>
      </c>
      <c r="E149" s="14">
        <v>72</v>
      </c>
      <c r="F149" s="15">
        <v>21.9</v>
      </c>
      <c r="G149" s="27" t="s">
        <v>712</v>
      </c>
      <c r="H149" s="28">
        <v>1450</v>
      </c>
      <c r="I149" s="38" t="s">
        <v>707</v>
      </c>
      <c r="J149" s="39">
        <v>142</v>
      </c>
      <c r="K149" s="42">
        <f>0.38*0.72*0.75</f>
        <v>0.20519999999999999</v>
      </c>
      <c r="L149" s="102"/>
      <c r="M149" s="73">
        <v>2682.1409999999996</v>
      </c>
    </row>
    <row r="150" spans="2:13" ht="15" thickBot="1">
      <c r="B150" s="13" t="s">
        <v>1669</v>
      </c>
      <c r="C150" s="14">
        <v>11</v>
      </c>
      <c r="D150" s="15">
        <v>15</v>
      </c>
      <c r="E150" s="14">
        <v>90</v>
      </c>
      <c r="F150" s="15">
        <v>26.3</v>
      </c>
      <c r="G150" s="27" t="s">
        <v>712</v>
      </c>
      <c r="H150" s="28">
        <v>1450</v>
      </c>
      <c r="I150" s="38" t="s">
        <v>707</v>
      </c>
      <c r="J150" s="39">
        <v>143</v>
      </c>
      <c r="K150" s="42">
        <f>0.38*0.72*0.75</f>
        <v>0.20519999999999999</v>
      </c>
      <c r="L150" s="102"/>
      <c r="M150" s="73">
        <v>3053.7780000000002</v>
      </c>
    </row>
    <row r="151" spans="2:13" ht="15" thickBot="1">
      <c r="B151" s="13" t="s">
        <v>1670</v>
      </c>
      <c r="C151" s="14">
        <v>15</v>
      </c>
      <c r="D151" s="15">
        <v>20</v>
      </c>
      <c r="E151" s="14">
        <v>90</v>
      </c>
      <c r="F151" s="15">
        <v>33</v>
      </c>
      <c r="G151" s="27" t="s">
        <v>712</v>
      </c>
      <c r="H151" s="28">
        <v>1450</v>
      </c>
      <c r="I151" s="38" t="s">
        <v>707</v>
      </c>
      <c r="J151" s="39">
        <v>144</v>
      </c>
      <c r="K151" s="42">
        <f>0.38*0.72*0.75</f>
        <v>0.20519999999999999</v>
      </c>
      <c r="L151" s="102"/>
      <c r="M151" s="73">
        <v>3288.3269999999998</v>
      </c>
    </row>
    <row r="152" spans="2:13" ht="15" thickBot="1">
      <c r="B152" s="13" t="s">
        <v>1671</v>
      </c>
      <c r="C152" s="14">
        <v>18.5</v>
      </c>
      <c r="D152" s="15">
        <v>25</v>
      </c>
      <c r="E152" s="14">
        <v>90</v>
      </c>
      <c r="F152" s="15">
        <v>36.6</v>
      </c>
      <c r="G152" s="27" t="s">
        <v>712</v>
      </c>
      <c r="H152" s="28">
        <v>1450</v>
      </c>
      <c r="I152" s="38" t="s">
        <v>707</v>
      </c>
      <c r="J152" s="39">
        <v>168</v>
      </c>
      <c r="K152" s="42">
        <f>0.45*0.72*0.79</f>
        <v>0.25596000000000002</v>
      </c>
      <c r="L152" s="102"/>
      <c r="M152" s="73">
        <v>4285.7849999999999</v>
      </c>
    </row>
    <row r="153" spans="2:13" ht="15" thickBot="1">
      <c r="B153" s="13" t="s">
        <v>1672</v>
      </c>
      <c r="C153" s="14">
        <v>22</v>
      </c>
      <c r="D153" s="15">
        <v>30</v>
      </c>
      <c r="E153" s="14">
        <v>90</v>
      </c>
      <c r="F153" s="15">
        <v>42</v>
      </c>
      <c r="G153" s="27" t="s">
        <v>712</v>
      </c>
      <c r="H153" s="28">
        <v>1450</v>
      </c>
      <c r="I153" s="38" t="s">
        <v>707</v>
      </c>
      <c r="J153" s="39">
        <v>169</v>
      </c>
      <c r="K153" s="42">
        <f>0.45*0.72*0.79</f>
        <v>0.25596000000000002</v>
      </c>
      <c r="L153" s="102"/>
      <c r="M153" s="73">
        <v>4477.4939999999997</v>
      </c>
    </row>
    <row r="154" spans="2:13" ht="15" thickBot="1">
      <c r="B154" s="13" t="s">
        <v>1673</v>
      </c>
      <c r="C154" s="14">
        <v>30</v>
      </c>
      <c r="D154" s="15">
        <v>40</v>
      </c>
      <c r="E154" s="14">
        <v>90</v>
      </c>
      <c r="F154" s="15">
        <v>52.8</v>
      </c>
      <c r="G154" s="27" t="s">
        <v>712</v>
      </c>
      <c r="H154" s="28">
        <v>1450</v>
      </c>
      <c r="I154" s="38" t="s">
        <v>707</v>
      </c>
      <c r="J154" s="39">
        <v>170</v>
      </c>
      <c r="K154" s="42">
        <f>0.45*0.72*0.79</f>
        <v>0.25596000000000002</v>
      </c>
      <c r="L154" s="102"/>
      <c r="M154" s="73">
        <v>4908.3930000000009</v>
      </c>
    </row>
    <row r="155" spans="2:13" ht="15" thickBot="1">
      <c r="B155" s="13" t="s">
        <v>1674</v>
      </c>
      <c r="C155" s="14">
        <v>37</v>
      </c>
      <c r="D155" s="15">
        <v>50</v>
      </c>
      <c r="E155" s="14">
        <v>140</v>
      </c>
      <c r="F155" s="15">
        <v>49.4</v>
      </c>
      <c r="G155" s="27" t="s">
        <v>712</v>
      </c>
      <c r="H155" s="28">
        <v>1450</v>
      </c>
      <c r="I155" s="38" t="s">
        <v>707</v>
      </c>
      <c r="J155" s="39">
        <v>171</v>
      </c>
      <c r="K155" s="42">
        <f>0.45*0.72*0.79</f>
        <v>0.25596000000000002</v>
      </c>
      <c r="L155" s="102"/>
      <c r="M155" s="73">
        <v>5510.2950000000001</v>
      </c>
    </row>
    <row r="156" spans="2:13" ht="15" thickBot="1">
      <c r="B156" s="13" t="s">
        <v>1675</v>
      </c>
      <c r="C156" s="14">
        <v>2.2000000000000002</v>
      </c>
      <c r="D156" s="15">
        <v>3</v>
      </c>
      <c r="E156" s="14">
        <v>72</v>
      </c>
      <c r="F156" s="15">
        <v>5.3</v>
      </c>
      <c r="G156" s="27" t="s">
        <v>713</v>
      </c>
      <c r="H156" s="28">
        <v>1450</v>
      </c>
      <c r="I156" s="38" t="s">
        <v>707</v>
      </c>
      <c r="J156" s="39">
        <v>68</v>
      </c>
      <c r="K156" s="42">
        <f>0.5*0.38*0.58</f>
        <v>0.11019999999999999</v>
      </c>
      <c r="L156" s="102"/>
      <c r="M156" s="73">
        <v>1385.874</v>
      </c>
    </row>
    <row r="157" spans="2:13" ht="15" thickBot="1">
      <c r="B157" s="13" t="s">
        <v>1676</v>
      </c>
      <c r="C157" s="14">
        <v>3</v>
      </c>
      <c r="D157" s="15">
        <v>4</v>
      </c>
      <c r="E157" s="14">
        <v>84</v>
      </c>
      <c r="F157" s="15">
        <v>7.3</v>
      </c>
      <c r="G157" s="27" t="s">
        <v>713</v>
      </c>
      <c r="H157" s="28">
        <v>1450</v>
      </c>
      <c r="I157" s="38" t="s">
        <v>707</v>
      </c>
      <c r="J157" s="39">
        <v>68</v>
      </c>
      <c r="K157" s="42">
        <f>0.5*0.38*0.58</f>
        <v>0.11019999999999999</v>
      </c>
      <c r="L157" s="102"/>
      <c r="M157" s="73">
        <v>1423.0020000000002</v>
      </c>
    </row>
    <row r="158" spans="2:13" ht="15" thickBot="1">
      <c r="B158" s="13" t="s">
        <v>1677</v>
      </c>
      <c r="C158" s="14">
        <v>4</v>
      </c>
      <c r="D158" s="15">
        <v>5.5</v>
      </c>
      <c r="E158" s="14">
        <v>96</v>
      </c>
      <c r="F158" s="15">
        <v>10.199999999999999</v>
      </c>
      <c r="G158" s="27" t="s">
        <v>713</v>
      </c>
      <c r="H158" s="28">
        <v>1450</v>
      </c>
      <c r="I158" s="38" t="s">
        <v>707</v>
      </c>
      <c r="J158" s="39">
        <v>68</v>
      </c>
      <c r="K158" s="42">
        <f>0.5*0.38*0.58</f>
        <v>0.11019999999999999</v>
      </c>
      <c r="L158" s="102"/>
      <c r="M158" s="73">
        <v>1708.2450000000001</v>
      </c>
    </row>
    <row r="159" spans="2:13" ht="15" thickBot="1">
      <c r="B159" s="13" t="s">
        <v>1678</v>
      </c>
      <c r="C159" s="14">
        <v>4</v>
      </c>
      <c r="D159" s="15">
        <v>5.5</v>
      </c>
      <c r="E159" s="14">
        <v>96</v>
      </c>
      <c r="F159" s="15">
        <v>9.6999999999999993</v>
      </c>
      <c r="G159" s="27" t="s">
        <v>713</v>
      </c>
      <c r="H159" s="28">
        <v>1450</v>
      </c>
      <c r="I159" s="38" t="s">
        <v>707</v>
      </c>
      <c r="J159" s="39">
        <v>84</v>
      </c>
      <c r="K159" s="42">
        <f>0.66*0.38*0.54</f>
        <v>0.13543200000000002</v>
      </c>
      <c r="L159" s="102"/>
      <c r="M159" s="73">
        <v>1827.4829999999999</v>
      </c>
    </row>
    <row r="160" spans="2:13" ht="15" thickBot="1">
      <c r="B160" s="13" t="s">
        <v>1679</v>
      </c>
      <c r="C160" s="14">
        <v>5.5</v>
      </c>
      <c r="D160" s="15">
        <v>7.5</v>
      </c>
      <c r="E160" s="14">
        <v>140</v>
      </c>
      <c r="F160" s="15">
        <v>9.6</v>
      </c>
      <c r="G160" s="27" t="s">
        <v>713</v>
      </c>
      <c r="H160" s="28">
        <v>1450</v>
      </c>
      <c r="I160" s="38" t="s">
        <v>707</v>
      </c>
      <c r="J160" s="39">
        <v>84</v>
      </c>
      <c r="K160" s="42">
        <f>0.66*0.38*0.54</f>
        <v>0.13543200000000002</v>
      </c>
      <c r="L160" s="102"/>
      <c r="M160" s="73">
        <v>1985.9909999999998</v>
      </c>
    </row>
    <row r="161" spans="2:13" ht="15" thickBot="1">
      <c r="B161" s="13" t="s">
        <v>1680</v>
      </c>
      <c r="C161" s="14">
        <v>7.5</v>
      </c>
      <c r="D161" s="15">
        <v>10</v>
      </c>
      <c r="E161" s="14">
        <v>140</v>
      </c>
      <c r="F161" s="15">
        <v>11.1</v>
      </c>
      <c r="G161" s="27" t="s">
        <v>713</v>
      </c>
      <c r="H161" s="28">
        <v>1450</v>
      </c>
      <c r="I161" s="38" t="s">
        <v>707</v>
      </c>
      <c r="J161" s="39">
        <v>84</v>
      </c>
      <c r="K161" s="42">
        <f>0.66*0.38*0.54</f>
        <v>0.13543200000000002</v>
      </c>
      <c r="L161" s="102"/>
      <c r="M161" s="73">
        <v>2125.578</v>
      </c>
    </row>
    <row r="162" spans="2:13" ht="15" thickBot="1">
      <c r="B162" s="13" t="s">
        <v>1681</v>
      </c>
      <c r="C162" s="14">
        <v>9.1999999999999993</v>
      </c>
      <c r="D162" s="15">
        <v>12.5</v>
      </c>
      <c r="E162" s="14">
        <v>140</v>
      </c>
      <c r="F162" s="15">
        <v>12.8</v>
      </c>
      <c r="G162" s="27" t="s">
        <v>713</v>
      </c>
      <c r="H162" s="28">
        <v>1450</v>
      </c>
      <c r="I162" s="38" t="s">
        <v>707</v>
      </c>
      <c r="J162" s="39">
        <v>84</v>
      </c>
      <c r="K162" s="42">
        <f>0.66*0.38*0.54</f>
        <v>0.13543200000000002</v>
      </c>
      <c r="L162" s="102"/>
      <c r="M162" s="73">
        <v>2381.547</v>
      </c>
    </row>
    <row r="163" spans="2:13" ht="15" thickBot="1">
      <c r="B163" s="13" t="s">
        <v>1682</v>
      </c>
      <c r="C163" s="14">
        <v>5.5</v>
      </c>
      <c r="D163" s="15">
        <v>7.5</v>
      </c>
      <c r="E163" s="14">
        <v>96</v>
      </c>
      <c r="F163" s="15">
        <v>13.4</v>
      </c>
      <c r="G163" s="27" t="s">
        <v>713</v>
      </c>
      <c r="H163" s="28">
        <v>1450</v>
      </c>
      <c r="I163" s="38" t="s">
        <v>707</v>
      </c>
      <c r="J163" s="39">
        <v>99</v>
      </c>
      <c r="K163" s="42">
        <f>0.68*0.42*0.56</f>
        <v>0.15993600000000002</v>
      </c>
      <c r="L163" s="102"/>
      <c r="M163" s="73">
        <v>2159.136</v>
      </c>
    </row>
    <row r="164" spans="2:13" ht="15" thickBot="1">
      <c r="B164" s="13" t="s">
        <v>1683</v>
      </c>
      <c r="C164" s="14">
        <v>7.5</v>
      </c>
      <c r="D164" s="15">
        <v>10</v>
      </c>
      <c r="E164" s="14">
        <v>96</v>
      </c>
      <c r="F164" s="15">
        <v>17.600000000000001</v>
      </c>
      <c r="G164" s="27" t="s">
        <v>713</v>
      </c>
      <c r="H164" s="28">
        <v>1450</v>
      </c>
      <c r="I164" s="38" t="s">
        <v>707</v>
      </c>
      <c r="J164" s="39">
        <v>99</v>
      </c>
      <c r="K164" s="42">
        <f>0.68*0.42*0.56</f>
        <v>0.15993600000000002</v>
      </c>
      <c r="L164" s="102"/>
      <c r="M164" s="73">
        <v>2439.3809999999999</v>
      </c>
    </row>
    <row r="165" spans="2:13" ht="15" thickBot="1">
      <c r="B165" s="13" t="s">
        <v>1684</v>
      </c>
      <c r="C165" s="14">
        <v>11</v>
      </c>
      <c r="D165" s="15">
        <v>15</v>
      </c>
      <c r="E165" s="14">
        <v>140</v>
      </c>
      <c r="F165" s="15">
        <v>19.7</v>
      </c>
      <c r="G165" s="27" t="s">
        <v>713</v>
      </c>
      <c r="H165" s="28">
        <v>1450</v>
      </c>
      <c r="I165" s="38" t="s">
        <v>707</v>
      </c>
      <c r="J165" s="39">
        <v>99</v>
      </c>
      <c r="K165" s="42">
        <f>0.68*0.42*0.56</f>
        <v>0.15993600000000002</v>
      </c>
      <c r="L165" s="102"/>
      <c r="M165" s="73">
        <v>2737.4759999999997</v>
      </c>
    </row>
    <row r="166" spans="2:13" ht="15" thickBot="1">
      <c r="B166" s="13" t="s">
        <v>1685</v>
      </c>
      <c r="C166" s="14">
        <v>15</v>
      </c>
      <c r="D166" s="15">
        <v>20</v>
      </c>
      <c r="E166" s="14">
        <v>140</v>
      </c>
      <c r="F166" s="15">
        <v>23.2</v>
      </c>
      <c r="G166" s="27" t="s">
        <v>713</v>
      </c>
      <c r="H166" s="28">
        <v>1450</v>
      </c>
      <c r="I166" s="38" t="s">
        <v>707</v>
      </c>
      <c r="J166" s="39">
        <v>99</v>
      </c>
      <c r="K166" s="42">
        <f>0.68*0.42*0.56</f>
        <v>0.15993600000000002</v>
      </c>
      <c r="L166" s="102"/>
      <c r="M166" s="73">
        <v>2895.9840000000004</v>
      </c>
    </row>
    <row r="167" spans="2:13" ht="15" thickBot="1">
      <c r="B167" s="13" t="s">
        <v>1686</v>
      </c>
      <c r="C167" s="14">
        <v>15</v>
      </c>
      <c r="D167" s="15">
        <v>20</v>
      </c>
      <c r="E167" s="14">
        <v>140</v>
      </c>
      <c r="F167" s="15">
        <v>23.1</v>
      </c>
      <c r="G167" s="27" t="s">
        <v>713</v>
      </c>
      <c r="H167" s="28">
        <v>1450</v>
      </c>
      <c r="I167" s="38" t="s">
        <v>707</v>
      </c>
      <c r="J167" s="39">
        <v>173</v>
      </c>
      <c r="K167" s="42">
        <f>0.5*0.62*0.75</f>
        <v>0.23249999999999998</v>
      </c>
      <c r="L167" s="102"/>
      <c r="M167" s="73">
        <v>3463.971</v>
      </c>
    </row>
    <row r="168" spans="2:13" ht="15" thickBot="1">
      <c r="B168" s="13" t="s">
        <v>1687</v>
      </c>
      <c r="C168" s="14">
        <v>18.5</v>
      </c>
      <c r="D168" s="15">
        <v>25</v>
      </c>
      <c r="E168" s="14">
        <v>140</v>
      </c>
      <c r="F168" s="15">
        <v>26.1</v>
      </c>
      <c r="G168" s="27" t="s">
        <v>713</v>
      </c>
      <c r="H168" s="28">
        <v>1450</v>
      </c>
      <c r="I168" s="38" t="s">
        <v>707</v>
      </c>
      <c r="J168" s="39">
        <v>174</v>
      </c>
      <c r="K168" s="42">
        <f>0.5*0.62*0.75</f>
        <v>0.23249999999999998</v>
      </c>
      <c r="L168" s="102"/>
      <c r="M168" s="73">
        <v>3770.6340000000005</v>
      </c>
    </row>
    <row r="169" spans="2:13" ht="15" thickBot="1">
      <c r="B169" s="13" t="s">
        <v>1688</v>
      </c>
      <c r="C169" s="14">
        <v>22</v>
      </c>
      <c r="D169" s="15">
        <v>30</v>
      </c>
      <c r="E169" s="14">
        <v>150</v>
      </c>
      <c r="F169" s="15">
        <v>29</v>
      </c>
      <c r="G169" s="27" t="s">
        <v>713</v>
      </c>
      <c r="H169" s="28">
        <v>1450</v>
      </c>
      <c r="I169" s="38" t="s">
        <v>707</v>
      </c>
      <c r="J169" s="39">
        <v>175</v>
      </c>
      <c r="K169" s="42">
        <f>0.5*0.62*0.75</f>
        <v>0.23249999999999998</v>
      </c>
      <c r="L169" s="102"/>
      <c r="M169" s="73">
        <v>3957.7019999999993</v>
      </c>
    </row>
    <row r="170" spans="2:13" ht="15" thickBot="1">
      <c r="B170" s="13" t="s">
        <v>1689</v>
      </c>
      <c r="C170" s="14">
        <v>30</v>
      </c>
      <c r="D170" s="15">
        <v>40</v>
      </c>
      <c r="E170" s="14">
        <v>150</v>
      </c>
      <c r="F170" s="15">
        <v>32.4</v>
      </c>
      <c r="G170" s="27" t="s">
        <v>713</v>
      </c>
      <c r="H170" s="28">
        <v>1450</v>
      </c>
      <c r="I170" s="38" t="s">
        <v>707</v>
      </c>
      <c r="J170" s="39">
        <v>176</v>
      </c>
      <c r="K170" s="42">
        <f>0.5*0.62*0.75</f>
        <v>0.23249999999999998</v>
      </c>
      <c r="L170" s="102"/>
      <c r="M170" s="73">
        <v>4358.6130000000003</v>
      </c>
    </row>
    <row r="171" spans="2:13" ht="15" thickBot="1">
      <c r="B171" s="13" t="s">
        <v>1690</v>
      </c>
      <c r="C171" s="14">
        <v>30</v>
      </c>
      <c r="D171" s="15">
        <v>40</v>
      </c>
      <c r="E171" s="14">
        <v>140</v>
      </c>
      <c r="F171" s="15">
        <v>42</v>
      </c>
      <c r="G171" s="27" t="s">
        <v>713</v>
      </c>
      <c r="H171" s="28">
        <v>1450</v>
      </c>
      <c r="I171" s="38" t="s">
        <v>707</v>
      </c>
      <c r="J171" s="39">
        <v>200</v>
      </c>
      <c r="K171" s="42">
        <f>0.55*0.72*0.79</f>
        <v>0.31284000000000001</v>
      </c>
      <c r="L171" s="102"/>
      <c r="M171" s="73">
        <v>4987.6469999999999</v>
      </c>
    </row>
    <row r="172" spans="2:13" ht="15" thickBot="1">
      <c r="B172" s="13" t="s">
        <v>1691</v>
      </c>
      <c r="C172" s="14">
        <v>37</v>
      </c>
      <c r="D172" s="15">
        <v>50</v>
      </c>
      <c r="E172" s="14">
        <v>140</v>
      </c>
      <c r="F172" s="15">
        <v>47.5</v>
      </c>
      <c r="G172" s="27" t="s">
        <v>713</v>
      </c>
      <c r="H172" s="28">
        <v>1450</v>
      </c>
      <c r="I172" s="38" t="s">
        <v>707</v>
      </c>
      <c r="J172" s="39">
        <v>201</v>
      </c>
      <c r="K172" s="42">
        <f>0.55*0.72*0.79</f>
        <v>0.31284000000000001</v>
      </c>
      <c r="L172" s="102"/>
      <c r="M172" s="73">
        <v>5674.8719999999994</v>
      </c>
    </row>
    <row r="173" spans="2:13" ht="15" thickBot="1">
      <c r="B173" s="13" t="s">
        <v>1692</v>
      </c>
      <c r="C173" s="14">
        <v>45</v>
      </c>
      <c r="D173" s="15">
        <v>60</v>
      </c>
      <c r="E173" s="14">
        <v>150</v>
      </c>
      <c r="F173" s="15">
        <v>52</v>
      </c>
      <c r="G173" s="27" t="s">
        <v>713</v>
      </c>
      <c r="H173" s="28">
        <v>1450</v>
      </c>
      <c r="I173" s="38" t="s">
        <v>707</v>
      </c>
      <c r="J173" s="39">
        <v>202</v>
      </c>
      <c r="K173" s="42">
        <f>0.55*0.72*0.79</f>
        <v>0.31284000000000001</v>
      </c>
      <c r="L173" s="102"/>
      <c r="M173" s="73">
        <v>6359.9549999999999</v>
      </c>
    </row>
    <row r="174" spans="2:13" ht="15" thickBot="1">
      <c r="B174" s="13" t="s">
        <v>1693</v>
      </c>
      <c r="C174" s="14">
        <v>55</v>
      </c>
      <c r="D174" s="15">
        <v>75</v>
      </c>
      <c r="E174" s="14">
        <v>150</v>
      </c>
      <c r="F174" s="15">
        <v>59</v>
      </c>
      <c r="G174" s="27" t="s">
        <v>713</v>
      </c>
      <c r="H174" s="28">
        <v>1450</v>
      </c>
      <c r="I174" s="38" t="s">
        <v>707</v>
      </c>
      <c r="J174" s="39">
        <v>204</v>
      </c>
      <c r="K174" s="42">
        <f>0.55*0.72*0.79</f>
        <v>0.31284000000000001</v>
      </c>
      <c r="L174" s="102"/>
      <c r="M174" s="244" t="s">
        <v>1260</v>
      </c>
    </row>
    <row r="175" spans="2:13" ht="15" thickBot="1">
      <c r="B175" s="13" t="s">
        <v>1694</v>
      </c>
      <c r="C175" s="14">
        <v>5.5</v>
      </c>
      <c r="D175" s="15">
        <v>7.5</v>
      </c>
      <c r="E175" s="14">
        <v>140</v>
      </c>
      <c r="F175" s="15">
        <v>8.9</v>
      </c>
      <c r="G175" s="27" t="s">
        <v>1296</v>
      </c>
      <c r="H175" s="28">
        <v>1450</v>
      </c>
      <c r="I175" s="38" t="s">
        <v>707</v>
      </c>
      <c r="J175" s="39">
        <v>126</v>
      </c>
      <c r="K175" s="42">
        <f>0.63*0.48*0.67</f>
        <v>0.20260800000000001</v>
      </c>
      <c r="L175" s="102"/>
      <c r="M175" s="73">
        <v>2280.5159999999996</v>
      </c>
    </row>
    <row r="176" spans="2:13" ht="15" thickBot="1">
      <c r="B176" s="13" t="s">
        <v>1695</v>
      </c>
      <c r="C176" s="14">
        <v>7.5</v>
      </c>
      <c r="D176" s="15">
        <v>10</v>
      </c>
      <c r="E176" s="14">
        <v>140</v>
      </c>
      <c r="F176" s="15">
        <v>11.9</v>
      </c>
      <c r="G176" s="27" t="s">
        <v>1296</v>
      </c>
      <c r="H176" s="28">
        <v>1450</v>
      </c>
      <c r="I176" s="38" t="s">
        <v>707</v>
      </c>
      <c r="J176" s="39">
        <v>127</v>
      </c>
      <c r="K176" s="42">
        <f>0.63*0.48*0.67</f>
        <v>0.20260800000000001</v>
      </c>
      <c r="L176" s="102"/>
      <c r="M176" s="73">
        <v>2402.9670000000001</v>
      </c>
    </row>
    <row r="177" spans="2:13" ht="15" thickBot="1">
      <c r="B177" s="13" t="s">
        <v>1696</v>
      </c>
      <c r="C177" s="14">
        <v>11</v>
      </c>
      <c r="D177" s="15">
        <v>15</v>
      </c>
      <c r="E177" s="14">
        <v>150</v>
      </c>
      <c r="F177" s="15">
        <v>15.6</v>
      </c>
      <c r="G177" s="27" t="s">
        <v>1296</v>
      </c>
      <c r="H177" s="28">
        <v>1450</v>
      </c>
      <c r="I177" s="38" t="s">
        <v>707</v>
      </c>
      <c r="J177" s="39">
        <v>128</v>
      </c>
      <c r="K177" s="42">
        <f>0.63*0.48*0.67</f>
        <v>0.20260800000000001</v>
      </c>
      <c r="L177" s="102"/>
      <c r="M177" s="73">
        <v>2778.1740000000004</v>
      </c>
    </row>
    <row r="178" spans="2:13" ht="15" thickBot="1">
      <c r="B178" s="13" t="s">
        <v>1697</v>
      </c>
      <c r="C178" s="14">
        <v>7.5</v>
      </c>
      <c r="D178" s="15">
        <v>10</v>
      </c>
      <c r="E178" s="14">
        <v>110</v>
      </c>
      <c r="F178" s="15">
        <v>14.6</v>
      </c>
      <c r="G178" s="27" t="s">
        <v>1296</v>
      </c>
      <c r="H178" s="28">
        <v>1450</v>
      </c>
      <c r="I178" s="38" t="s">
        <v>707</v>
      </c>
      <c r="J178" s="39">
        <v>198</v>
      </c>
      <c r="K178" s="42">
        <f>0.7*0.53*0.7</f>
        <v>0.25969999999999999</v>
      </c>
      <c r="L178" s="102"/>
      <c r="M178" s="73">
        <v>2626.0920000000001</v>
      </c>
    </row>
    <row r="179" spans="2:13" ht="15" thickBot="1">
      <c r="B179" s="13" t="s">
        <v>1698</v>
      </c>
      <c r="C179" s="14">
        <v>11</v>
      </c>
      <c r="D179" s="15">
        <v>15</v>
      </c>
      <c r="E179" s="14">
        <v>150</v>
      </c>
      <c r="F179" s="15">
        <v>17.8</v>
      </c>
      <c r="G179" s="27" t="s">
        <v>1296</v>
      </c>
      <c r="H179" s="28">
        <v>1450</v>
      </c>
      <c r="I179" s="38" t="s">
        <v>707</v>
      </c>
      <c r="J179" s="39">
        <v>199</v>
      </c>
      <c r="K179" s="42">
        <f>0.7*0.53*0.7</f>
        <v>0.25969999999999999</v>
      </c>
      <c r="L179" s="102"/>
      <c r="M179" s="73">
        <v>2999.8709999999996</v>
      </c>
    </row>
    <row r="180" spans="2:13" ht="15" thickBot="1">
      <c r="B180" s="13" t="s">
        <v>1699</v>
      </c>
      <c r="C180" s="14">
        <v>15</v>
      </c>
      <c r="D180" s="15">
        <v>20</v>
      </c>
      <c r="E180" s="14">
        <v>200</v>
      </c>
      <c r="F180" s="15">
        <v>19.8</v>
      </c>
      <c r="G180" s="27" t="s">
        <v>1296</v>
      </c>
      <c r="H180" s="28">
        <v>1450</v>
      </c>
      <c r="I180" s="38" t="s">
        <v>707</v>
      </c>
      <c r="J180" s="39">
        <v>200</v>
      </c>
      <c r="K180" s="42">
        <f>0.7*0.53*0.7</f>
        <v>0.25969999999999999</v>
      </c>
      <c r="L180" s="102"/>
      <c r="M180" s="73">
        <v>3236.2049999999999</v>
      </c>
    </row>
    <row r="181" spans="2:13" ht="15" thickBot="1">
      <c r="B181" s="13" t="s">
        <v>1700</v>
      </c>
      <c r="C181" s="14">
        <v>18.5</v>
      </c>
      <c r="D181" s="15">
        <v>25</v>
      </c>
      <c r="E181" s="14">
        <v>200</v>
      </c>
      <c r="F181" s="15">
        <v>23</v>
      </c>
      <c r="G181" s="27" t="s">
        <v>1296</v>
      </c>
      <c r="H181" s="28">
        <v>1450</v>
      </c>
      <c r="I181" s="38" t="s">
        <v>707</v>
      </c>
      <c r="J181" s="39">
        <v>200</v>
      </c>
      <c r="K181" s="42">
        <f>0.7*0.53*0.7</f>
        <v>0.25969999999999999</v>
      </c>
      <c r="L181" s="102"/>
      <c r="M181" s="73">
        <v>3543.9390000000003</v>
      </c>
    </row>
    <row r="182" spans="2:13" ht="15" thickBot="1">
      <c r="B182" s="13" t="s">
        <v>1701</v>
      </c>
      <c r="C182" s="14">
        <v>18.5</v>
      </c>
      <c r="D182" s="15">
        <v>25</v>
      </c>
      <c r="E182" s="14">
        <v>200</v>
      </c>
      <c r="F182" s="15">
        <v>23.3</v>
      </c>
      <c r="G182" s="27" t="s">
        <v>1296</v>
      </c>
      <c r="H182" s="28">
        <v>1450</v>
      </c>
      <c r="I182" s="38" t="s">
        <v>707</v>
      </c>
      <c r="J182" s="39">
        <v>207</v>
      </c>
      <c r="K182" s="42">
        <f>0.72*0.55*0.75</f>
        <v>0.29700000000000004</v>
      </c>
      <c r="L182" s="102"/>
      <c r="M182" s="73">
        <v>3910.9349999999999</v>
      </c>
    </row>
    <row r="183" spans="2:13" ht="15" thickBot="1">
      <c r="B183" s="13" t="s">
        <v>1702</v>
      </c>
      <c r="C183" s="14">
        <v>22</v>
      </c>
      <c r="D183" s="15">
        <v>30</v>
      </c>
      <c r="E183" s="14">
        <v>200</v>
      </c>
      <c r="F183" s="15">
        <v>26.5</v>
      </c>
      <c r="G183" s="27" t="s">
        <v>1296</v>
      </c>
      <c r="H183" s="28">
        <v>1450</v>
      </c>
      <c r="I183" s="38" t="s">
        <v>707</v>
      </c>
      <c r="J183" s="39">
        <v>209</v>
      </c>
      <c r="K183" s="42">
        <f>0.72*0.55*0.75</f>
        <v>0.29700000000000004</v>
      </c>
      <c r="L183" s="102"/>
      <c r="M183" s="73">
        <v>4071.2280000000005</v>
      </c>
    </row>
    <row r="184" spans="2:13" ht="15" thickBot="1">
      <c r="B184" s="13" t="s">
        <v>1703</v>
      </c>
      <c r="C184" s="14">
        <v>30</v>
      </c>
      <c r="D184" s="15">
        <v>40</v>
      </c>
      <c r="E184" s="14">
        <v>200</v>
      </c>
      <c r="F184" s="15">
        <v>32.9</v>
      </c>
      <c r="G184" s="27" t="s">
        <v>1296</v>
      </c>
      <c r="H184" s="28">
        <v>1450</v>
      </c>
      <c r="I184" s="38" t="s">
        <v>707</v>
      </c>
      <c r="J184" s="39">
        <v>211</v>
      </c>
      <c r="K184" s="42">
        <f>0.72*0.55*0.75</f>
        <v>0.29700000000000004</v>
      </c>
      <c r="L184" s="102"/>
      <c r="M184" s="73">
        <v>4515.3360000000002</v>
      </c>
    </row>
    <row r="185" spans="2:13" ht="15" thickBot="1">
      <c r="B185" s="13" t="s">
        <v>1704</v>
      </c>
      <c r="C185" s="14">
        <v>37</v>
      </c>
      <c r="D185" s="15">
        <v>50</v>
      </c>
      <c r="E185" s="14">
        <v>250</v>
      </c>
      <c r="F185" s="15">
        <v>33.1</v>
      </c>
      <c r="G185" s="27" t="s">
        <v>1296</v>
      </c>
      <c r="H185" s="28">
        <v>1450</v>
      </c>
      <c r="I185" s="38" t="s">
        <v>707</v>
      </c>
      <c r="J185" s="39">
        <v>213</v>
      </c>
      <c r="K185" s="42">
        <f>0.72*0.55*0.75</f>
        <v>0.29700000000000004</v>
      </c>
      <c r="L185" s="102"/>
      <c r="M185" s="73">
        <v>5190.0660000000007</v>
      </c>
    </row>
    <row r="186" spans="2:13" ht="15" thickBot="1">
      <c r="B186" s="13" t="s">
        <v>1705</v>
      </c>
      <c r="C186" s="14">
        <v>30</v>
      </c>
      <c r="D186" s="15">
        <v>40</v>
      </c>
      <c r="E186" s="14">
        <v>200</v>
      </c>
      <c r="F186" s="15">
        <v>34.4</v>
      </c>
      <c r="G186" s="27" t="s">
        <v>1296</v>
      </c>
      <c r="H186" s="28">
        <v>1450</v>
      </c>
      <c r="I186" s="38" t="s">
        <v>707</v>
      </c>
      <c r="J186" s="39">
        <v>225</v>
      </c>
      <c r="K186" s="42">
        <f t="shared" ref="K186:K191" si="0">0.55*0.72*0.87</f>
        <v>0.34451999999999999</v>
      </c>
      <c r="L186" s="102"/>
      <c r="M186" s="73">
        <v>5155.08</v>
      </c>
    </row>
    <row r="187" spans="2:13" ht="15" thickBot="1">
      <c r="B187" s="13" t="s">
        <v>1706</v>
      </c>
      <c r="C187" s="14">
        <v>37</v>
      </c>
      <c r="D187" s="15">
        <v>50</v>
      </c>
      <c r="E187" s="14">
        <v>200</v>
      </c>
      <c r="F187" s="15">
        <v>40.700000000000003</v>
      </c>
      <c r="G187" s="27" t="s">
        <v>1296</v>
      </c>
      <c r="H187" s="28">
        <v>1450</v>
      </c>
      <c r="I187" s="38" t="s">
        <v>707</v>
      </c>
      <c r="J187" s="39">
        <v>226</v>
      </c>
      <c r="K187" s="42">
        <f t="shared" si="0"/>
        <v>0.34451999999999999</v>
      </c>
      <c r="L187" s="102"/>
      <c r="M187" s="73">
        <v>5830.1669999999995</v>
      </c>
    </row>
    <row r="188" spans="2:13" ht="15" thickBot="1">
      <c r="B188" s="13" t="s">
        <v>1707</v>
      </c>
      <c r="C188" s="14">
        <v>45</v>
      </c>
      <c r="D188" s="15">
        <v>60</v>
      </c>
      <c r="E188" s="14">
        <v>200</v>
      </c>
      <c r="F188" s="15">
        <v>47</v>
      </c>
      <c r="G188" s="27" t="s">
        <v>1296</v>
      </c>
      <c r="H188" s="28">
        <v>1450</v>
      </c>
      <c r="I188" s="38" t="s">
        <v>707</v>
      </c>
      <c r="J188" s="39">
        <v>227</v>
      </c>
      <c r="K188" s="42">
        <f t="shared" si="0"/>
        <v>0.34451999999999999</v>
      </c>
      <c r="L188" s="102"/>
      <c r="M188" s="73">
        <v>6504.8969999999999</v>
      </c>
    </row>
    <row r="189" spans="2:13" ht="15" thickBot="1">
      <c r="B189" s="13" t="s">
        <v>1708</v>
      </c>
      <c r="C189" s="14">
        <v>55</v>
      </c>
      <c r="D189" s="15">
        <v>75</v>
      </c>
      <c r="E189" s="14">
        <v>250</v>
      </c>
      <c r="F189" s="15">
        <v>50.3</v>
      </c>
      <c r="G189" s="27" t="s">
        <v>1296</v>
      </c>
      <c r="H189" s="28">
        <v>1450</v>
      </c>
      <c r="I189" s="38" t="s">
        <v>707</v>
      </c>
      <c r="J189" s="39">
        <v>228</v>
      </c>
      <c r="K189" s="42">
        <f t="shared" si="0"/>
        <v>0.34451999999999999</v>
      </c>
      <c r="L189" s="102"/>
      <c r="M189" s="334" t="s">
        <v>1260</v>
      </c>
    </row>
    <row r="190" spans="2:13" ht="15" thickBot="1">
      <c r="B190" s="13" t="s">
        <v>1709</v>
      </c>
      <c r="C190" s="14">
        <v>75</v>
      </c>
      <c r="D190" s="15">
        <v>100</v>
      </c>
      <c r="E190" s="14">
        <v>250</v>
      </c>
      <c r="F190" s="15">
        <v>58.3</v>
      </c>
      <c r="G190" s="27" t="s">
        <v>1296</v>
      </c>
      <c r="H190" s="28">
        <v>1450</v>
      </c>
      <c r="I190" s="38" t="s">
        <v>707</v>
      </c>
      <c r="J190" s="39">
        <v>229</v>
      </c>
      <c r="K190" s="42">
        <f t="shared" si="0"/>
        <v>0.34451999999999999</v>
      </c>
      <c r="L190" s="102"/>
      <c r="M190" s="335"/>
    </row>
    <row r="191" spans="2:13" ht="15" thickBot="1">
      <c r="B191" s="13" t="s">
        <v>1710</v>
      </c>
      <c r="C191" s="14">
        <v>90</v>
      </c>
      <c r="D191" s="15">
        <v>125</v>
      </c>
      <c r="E191" s="14">
        <v>250</v>
      </c>
      <c r="F191" s="15">
        <v>63.8</v>
      </c>
      <c r="G191" s="27" t="s">
        <v>1296</v>
      </c>
      <c r="H191" s="28">
        <v>1450</v>
      </c>
      <c r="I191" s="38" t="s">
        <v>707</v>
      </c>
      <c r="J191" s="39">
        <v>230</v>
      </c>
      <c r="K191" s="42">
        <f t="shared" si="0"/>
        <v>0.34451999999999999</v>
      </c>
      <c r="L191" s="102"/>
      <c r="M191" s="335"/>
    </row>
    <row r="192" spans="2:13" ht="15" thickBot="1">
      <c r="B192" s="13" t="s">
        <v>1711</v>
      </c>
      <c r="C192" s="14">
        <v>11</v>
      </c>
      <c r="D192" s="15">
        <v>15</v>
      </c>
      <c r="E192" s="14">
        <v>250</v>
      </c>
      <c r="F192" s="15">
        <v>12.9</v>
      </c>
      <c r="G192" s="27" t="s">
        <v>715</v>
      </c>
      <c r="H192" s="28">
        <v>1450</v>
      </c>
      <c r="I192" s="38" t="s">
        <v>707</v>
      </c>
      <c r="J192" s="39">
        <v>188</v>
      </c>
      <c r="K192" s="42">
        <f>0.65*0.62*0.79</f>
        <v>0.31837000000000004</v>
      </c>
      <c r="L192" s="102"/>
      <c r="M192" s="73">
        <v>3281.9009999999998</v>
      </c>
    </row>
    <row r="193" spans="2:13" ht="15" thickBot="1">
      <c r="B193" s="13" t="s">
        <v>1712</v>
      </c>
      <c r="C193" s="14">
        <v>15</v>
      </c>
      <c r="D193" s="15">
        <v>20</v>
      </c>
      <c r="E193" s="14">
        <v>250</v>
      </c>
      <c r="F193" s="15">
        <v>14.3</v>
      </c>
      <c r="G193" s="27" t="s">
        <v>715</v>
      </c>
      <c r="H193" s="28">
        <v>1450</v>
      </c>
      <c r="I193" s="38" t="s">
        <v>707</v>
      </c>
      <c r="J193" s="39">
        <v>189</v>
      </c>
      <c r="K193" s="42">
        <f>0.65*0.62*0.79</f>
        <v>0.31837000000000004</v>
      </c>
      <c r="L193" s="102"/>
      <c r="M193" s="73">
        <v>3518.5920000000001</v>
      </c>
    </row>
    <row r="194" spans="2:13" ht="15" thickBot="1">
      <c r="B194" s="13" t="s">
        <v>1713</v>
      </c>
      <c r="C194" s="14">
        <v>18.5</v>
      </c>
      <c r="D194" s="15">
        <v>25</v>
      </c>
      <c r="E194" s="14">
        <v>300</v>
      </c>
      <c r="F194" s="15">
        <v>15.5</v>
      </c>
      <c r="G194" s="27" t="s">
        <v>715</v>
      </c>
      <c r="H194" s="28">
        <v>1450</v>
      </c>
      <c r="I194" s="38" t="s">
        <v>707</v>
      </c>
      <c r="J194" s="39">
        <v>190</v>
      </c>
      <c r="K194" s="42">
        <f>0.65*0.62*0.79</f>
        <v>0.31837000000000004</v>
      </c>
      <c r="L194" s="102"/>
      <c r="M194" s="73">
        <v>3827.7540000000004</v>
      </c>
    </row>
    <row r="195" spans="2:13" ht="15" thickBot="1">
      <c r="B195" s="13" t="s">
        <v>1714</v>
      </c>
      <c r="C195" s="14">
        <v>22</v>
      </c>
      <c r="D195" s="15">
        <v>30</v>
      </c>
      <c r="E195" s="14">
        <v>300</v>
      </c>
      <c r="F195" s="15">
        <v>17.5</v>
      </c>
      <c r="G195" s="27" t="s">
        <v>715</v>
      </c>
      <c r="H195" s="28">
        <v>1450</v>
      </c>
      <c r="I195" s="38" t="s">
        <v>707</v>
      </c>
      <c r="J195" s="39">
        <v>192</v>
      </c>
      <c r="K195" s="42">
        <f>0.65*0.62*0.79</f>
        <v>0.31837000000000004</v>
      </c>
      <c r="L195" s="102"/>
      <c r="M195" s="73">
        <v>4132.6319999999996</v>
      </c>
    </row>
    <row r="196" spans="2:13" ht="15" thickBot="1">
      <c r="B196" s="13" t="s">
        <v>1715</v>
      </c>
      <c r="C196" s="14">
        <v>15</v>
      </c>
      <c r="D196" s="15">
        <v>20</v>
      </c>
      <c r="E196" s="14">
        <v>250</v>
      </c>
      <c r="F196" s="15">
        <v>14.7</v>
      </c>
      <c r="G196" s="27" t="s">
        <v>715</v>
      </c>
      <c r="H196" s="28">
        <v>1450</v>
      </c>
      <c r="I196" s="38" t="s">
        <v>707</v>
      </c>
      <c r="J196" s="39">
        <v>204</v>
      </c>
      <c r="K196" s="42">
        <f>0.72*0.6*0.8</f>
        <v>0.34560000000000002</v>
      </c>
      <c r="L196" s="102"/>
      <c r="M196" s="73">
        <v>4000.8990000000003</v>
      </c>
    </row>
    <row r="197" spans="2:13" ht="15" thickBot="1">
      <c r="B197" s="13" t="s">
        <v>1716</v>
      </c>
      <c r="C197" s="14">
        <v>18.5</v>
      </c>
      <c r="D197" s="15">
        <v>25</v>
      </c>
      <c r="E197" s="14">
        <v>300</v>
      </c>
      <c r="F197" s="15">
        <v>17.5</v>
      </c>
      <c r="G197" s="27" t="s">
        <v>715</v>
      </c>
      <c r="H197" s="28">
        <v>1450</v>
      </c>
      <c r="I197" s="38" t="s">
        <v>707</v>
      </c>
      <c r="J197" s="39">
        <v>205</v>
      </c>
      <c r="K197" s="42">
        <f>0.72*0.6*0.8</f>
        <v>0.34560000000000002</v>
      </c>
      <c r="L197" s="102"/>
      <c r="M197" s="73">
        <v>4311.8460000000005</v>
      </c>
    </row>
    <row r="198" spans="2:13" ht="15" thickBot="1">
      <c r="B198" s="13" t="s">
        <v>1717</v>
      </c>
      <c r="C198" s="14">
        <v>22</v>
      </c>
      <c r="D198" s="15">
        <v>30</v>
      </c>
      <c r="E198" s="14">
        <v>300</v>
      </c>
      <c r="F198" s="15">
        <v>20.8</v>
      </c>
      <c r="G198" s="27" t="s">
        <v>715</v>
      </c>
      <c r="H198" s="28">
        <v>1450</v>
      </c>
      <c r="I198" s="38" t="s">
        <v>707</v>
      </c>
      <c r="J198" s="39">
        <v>206</v>
      </c>
      <c r="K198" s="42">
        <f>0.72*0.6*0.8</f>
        <v>0.34560000000000002</v>
      </c>
      <c r="L198" s="102"/>
      <c r="M198" s="73">
        <v>4503.5550000000003</v>
      </c>
    </row>
    <row r="199" spans="2:13" ht="15" thickBot="1">
      <c r="B199" s="13" t="s">
        <v>1718</v>
      </c>
      <c r="C199" s="14">
        <v>30</v>
      </c>
      <c r="D199" s="15">
        <v>40</v>
      </c>
      <c r="E199" s="14">
        <v>300</v>
      </c>
      <c r="F199" s="15">
        <v>22</v>
      </c>
      <c r="G199" s="27" t="s">
        <v>715</v>
      </c>
      <c r="H199" s="28">
        <v>1450</v>
      </c>
      <c r="I199" s="38" t="s">
        <v>707</v>
      </c>
      <c r="J199" s="39">
        <v>206</v>
      </c>
      <c r="K199" s="42">
        <f>0.72*0.6*0.8</f>
        <v>0.34560000000000002</v>
      </c>
      <c r="L199" s="102"/>
      <c r="M199" s="73">
        <v>4909.4639999999999</v>
      </c>
    </row>
    <row r="200" spans="2:13" ht="15" thickBot="1">
      <c r="B200" s="13" t="s">
        <v>1719</v>
      </c>
      <c r="C200" s="14">
        <v>30</v>
      </c>
      <c r="D200" s="15">
        <v>40</v>
      </c>
      <c r="E200" s="14">
        <v>250</v>
      </c>
      <c r="F200" s="15">
        <v>27.9</v>
      </c>
      <c r="G200" s="27" t="s">
        <v>715</v>
      </c>
      <c r="H200" s="28">
        <v>1450</v>
      </c>
      <c r="I200" s="38" t="s">
        <v>707</v>
      </c>
      <c r="J200" s="39">
        <v>223</v>
      </c>
      <c r="K200" s="42">
        <f>0.75*0.6*0.85</f>
        <v>0.38249999999999995</v>
      </c>
      <c r="L200" s="102"/>
      <c r="M200" s="73">
        <v>5530.6440000000002</v>
      </c>
    </row>
    <row r="201" spans="2:13" ht="15" thickBot="1">
      <c r="B201" s="13" t="s">
        <v>1720</v>
      </c>
      <c r="C201" s="14">
        <v>37</v>
      </c>
      <c r="D201" s="15">
        <v>50</v>
      </c>
      <c r="E201" s="14">
        <v>300</v>
      </c>
      <c r="F201" s="15">
        <v>30.4</v>
      </c>
      <c r="G201" s="27" t="s">
        <v>715</v>
      </c>
      <c r="H201" s="28">
        <v>1450</v>
      </c>
      <c r="I201" s="38" t="s">
        <v>707</v>
      </c>
      <c r="J201" s="39">
        <v>224</v>
      </c>
      <c r="K201" s="42">
        <f>0.75*0.6*0.85</f>
        <v>0.38249999999999995</v>
      </c>
      <c r="L201" s="102"/>
      <c r="M201" s="73">
        <v>6209.3010000000004</v>
      </c>
    </row>
    <row r="202" spans="2:13" ht="15" thickBot="1">
      <c r="B202" s="13" t="s">
        <v>1721</v>
      </c>
      <c r="C202" s="14">
        <v>45</v>
      </c>
      <c r="D202" s="15">
        <v>60</v>
      </c>
      <c r="E202" s="14">
        <v>300</v>
      </c>
      <c r="F202" s="15">
        <v>34.700000000000003</v>
      </c>
      <c r="G202" s="27" t="s">
        <v>715</v>
      </c>
      <c r="H202" s="28">
        <v>1450</v>
      </c>
      <c r="I202" s="38" t="s">
        <v>707</v>
      </c>
      <c r="J202" s="39">
        <v>225</v>
      </c>
      <c r="K202" s="42">
        <f>0.75*0.6*0.85</f>
        <v>0.38249999999999995</v>
      </c>
      <c r="L202" s="102"/>
      <c r="M202" s="73">
        <v>6886.53</v>
      </c>
    </row>
    <row r="203" spans="2:13" ht="15" thickBot="1">
      <c r="B203" s="13" t="s">
        <v>1722</v>
      </c>
      <c r="C203" s="14">
        <v>55</v>
      </c>
      <c r="D203" s="15">
        <v>75</v>
      </c>
      <c r="E203" s="14">
        <v>300</v>
      </c>
      <c r="F203" s="15">
        <v>37.200000000000003</v>
      </c>
      <c r="G203" s="27" t="s">
        <v>715</v>
      </c>
      <c r="H203" s="28">
        <v>1450</v>
      </c>
      <c r="I203" s="38" t="s">
        <v>707</v>
      </c>
      <c r="J203" s="39">
        <v>225</v>
      </c>
      <c r="K203" s="42">
        <f>0.75*0.6*0.85</f>
        <v>0.38249999999999995</v>
      </c>
      <c r="L203" s="102"/>
      <c r="M203" s="334" t="s">
        <v>1260</v>
      </c>
    </row>
    <row r="204" spans="2:13" ht="15" thickBot="1">
      <c r="B204" s="13" t="s">
        <v>1723</v>
      </c>
      <c r="C204" s="14">
        <v>75</v>
      </c>
      <c r="D204" s="15">
        <v>100</v>
      </c>
      <c r="E204" s="14">
        <v>400</v>
      </c>
      <c r="F204" s="15">
        <v>40.9</v>
      </c>
      <c r="G204" s="27" t="s">
        <v>715</v>
      </c>
      <c r="H204" s="28">
        <v>1450</v>
      </c>
      <c r="I204" s="38" t="s">
        <v>707</v>
      </c>
      <c r="J204" s="39">
        <v>225</v>
      </c>
      <c r="K204" s="42">
        <f>0.75*0.6*0.85</f>
        <v>0.38249999999999995</v>
      </c>
      <c r="L204" s="102"/>
      <c r="M204" s="335"/>
    </row>
    <row r="205" spans="2:13" ht="15" thickBot="1">
      <c r="B205" s="13" t="s">
        <v>1724</v>
      </c>
      <c r="C205" s="14">
        <v>55</v>
      </c>
      <c r="D205" s="15">
        <v>75</v>
      </c>
      <c r="E205" s="14">
        <v>300</v>
      </c>
      <c r="F205" s="15">
        <v>42</v>
      </c>
      <c r="G205" s="27" t="s">
        <v>715</v>
      </c>
      <c r="H205" s="28">
        <v>1450</v>
      </c>
      <c r="I205" s="38" t="s">
        <v>707</v>
      </c>
      <c r="J205" s="39">
        <v>257</v>
      </c>
      <c r="K205" s="42">
        <f>0.6*0.74*0.92</f>
        <v>0.40848000000000001</v>
      </c>
      <c r="L205" s="102"/>
      <c r="M205" s="335"/>
    </row>
    <row r="206" spans="2:13" ht="15" thickBot="1">
      <c r="B206" s="13" t="s">
        <v>1725</v>
      </c>
      <c r="C206" s="14">
        <v>75</v>
      </c>
      <c r="D206" s="15">
        <v>100</v>
      </c>
      <c r="E206" s="14">
        <v>400</v>
      </c>
      <c r="F206" s="15">
        <v>47</v>
      </c>
      <c r="G206" s="27" t="s">
        <v>715</v>
      </c>
      <c r="H206" s="28">
        <v>1450</v>
      </c>
      <c r="I206" s="38" t="s">
        <v>707</v>
      </c>
      <c r="J206" s="39">
        <v>258</v>
      </c>
      <c r="K206" s="42">
        <f>0.6*0.74*0.92</f>
        <v>0.40848000000000001</v>
      </c>
      <c r="L206" s="102"/>
      <c r="M206" s="335"/>
    </row>
    <row r="207" spans="2:13" ht="15" thickBot="1">
      <c r="B207" s="13" t="s">
        <v>1726</v>
      </c>
      <c r="C207" s="14">
        <v>90</v>
      </c>
      <c r="D207" s="15">
        <v>125</v>
      </c>
      <c r="E207" s="14">
        <v>400</v>
      </c>
      <c r="F207" s="15">
        <v>52</v>
      </c>
      <c r="G207" s="27" t="s">
        <v>715</v>
      </c>
      <c r="H207" s="28">
        <v>1450</v>
      </c>
      <c r="I207" s="38" t="s">
        <v>707</v>
      </c>
      <c r="J207" s="39">
        <v>259</v>
      </c>
      <c r="K207" s="42">
        <f>0.6*0.74*0.92</f>
        <v>0.40848000000000001</v>
      </c>
      <c r="L207" s="102"/>
      <c r="M207" s="335"/>
    </row>
    <row r="208" spans="2:13" ht="15" thickBot="1">
      <c r="B208" s="13" t="s">
        <v>1727</v>
      </c>
      <c r="C208" s="14">
        <v>110</v>
      </c>
      <c r="D208" s="15">
        <v>150</v>
      </c>
      <c r="E208" s="14">
        <v>400</v>
      </c>
      <c r="F208" s="15">
        <v>58</v>
      </c>
      <c r="G208" s="27" t="s">
        <v>715</v>
      </c>
      <c r="H208" s="28">
        <v>1450</v>
      </c>
      <c r="I208" s="38" t="s">
        <v>707</v>
      </c>
      <c r="J208" s="39">
        <v>260</v>
      </c>
      <c r="K208" s="42">
        <f>0.6*0.74*0.92</f>
        <v>0.40848000000000001</v>
      </c>
      <c r="L208" s="102"/>
      <c r="M208" s="335"/>
    </row>
    <row r="209" spans="2:13" ht="15" thickBot="1">
      <c r="B209" s="13" t="s">
        <v>1728</v>
      </c>
      <c r="C209" s="14">
        <v>132</v>
      </c>
      <c r="D209" s="15">
        <v>180</v>
      </c>
      <c r="E209" s="14">
        <v>400</v>
      </c>
      <c r="F209" s="15">
        <v>64.5</v>
      </c>
      <c r="G209" s="27" t="s">
        <v>715</v>
      </c>
      <c r="H209" s="28">
        <v>1450</v>
      </c>
      <c r="I209" s="38" t="s">
        <v>707</v>
      </c>
      <c r="J209" s="39">
        <v>262</v>
      </c>
      <c r="K209" s="42">
        <f>0.6*0.74*0.92</f>
        <v>0.40848000000000001</v>
      </c>
      <c r="L209" s="102"/>
      <c r="M209" s="335"/>
    </row>
    <row r="210" spans="2:13" ht="15" thickBot="1">
      <c r="B210" s="13" t="s">
        <v>1729</v>
      </c>
      <c r="C210" s="14">
        <v>37</v>
      </c>
      <c r="D210" s="15">
        <v>50</v>
      </c>
      <c r="E210" s="14">
        <v>500</v>
      </c>
      <c r="F210" s="15">
        <v>18.3</v>
      </c>
      <c r="G210" s="27" t="s">
        <v>718</v>
      </c>
      <c r="H210" s="28">
        <v>1450</v>
      </c>
      <c r="I210" s="38" t="s">
        <v>707</v>
      </c>
      <c r="J210" s="39">
        <v>260</v>
      </c>
      <c r="K210" s="100">
        <f>0.6*0.76*0.95</f>
        <v>0.43319999999999992</v>
      </c>
      <c r="L210" s="102"/>
      <c r="M210" s="73">
        <v>6887.9580000000005</v>
      </c>
    </row>
    <row r="211" spans="2:13" ht="15" thickBot="1">
      <c r="B211" s="13" t="s">
        <v>1730</v>
      </c>
      <c r="C211" s="14">
        <v>45</v>
      </c>
      <c r="D211" s="15">
        <v>60</v>
      </c>
      <c r="E211" s="14">
        <v>500</v>
      </c>
      <c r="F211" s="15">
        <v>21.3</v>
      </c>
      <c r="G211" s="27" t="s">
        <v>718</v>
      </c>
      <c r="H211" s="28">
        <v>1450</v>
      </c>
      <c r="I211" s="38" t="s">
        <v>707</v>
      </c>
      <c r="J211" s="39">
        <v>261</v>
      </c>
      <c r="K211" s="100">
        <f>0.6*0.76*0.95</f>
        <v>0.43319999999999992</v>
      </c>
      <c r="L211" s="102"/>
      <c r="M211" s="73">
        <v>7596.246000000001</v>
      </c>
    </row>
    <row r="212" spans="2:13" ht="15" thickBot="1">
      <c r="B212" s="13" t="s">
        <v>1731</v>
      </c>
      <c r="C212" s="14">
        <v>55</v>
      </c>
      <c r="D212" s="15">
        <v>75</v>
      </c>
      <c r="E212" s="14">
        <v>500</v>
      </c>
      <c r="F212" s="15">
        <v>26</v>
      </c>
      <c r="G212" s="27" t="s">
        <v>718</v>
      </c>
      <c r="H212" s="28">
        <v>1450</v>
      </c>
      <c r="I212" s="38" t="s">
        <v>707</v>
      </c>
      <c r="J212" s="39">
        <v>262</v>
      </c>
      <c r="K212" s="100">
        <f>0.6*0.76*0.95</f>
        <v>0.43319999999999992</v>
      </c>
      <c r="L212" s="102"/>
      <c r="M212" s="334" t="s">
        <v>1260</v>
      </c>
    </row>
    <row r="213" spans="2:13" ht="15" thickBot="1">
      <c r="B213" s="13" t="s">
        <v>1732</v>
      </c>
      <c r="C213" s="14">
        <v>55</v>
      </c>
      <c r="D213" s="15">
        <v>75</v>
      </c>
      <c r="E213" s="14">
        <v>500</v>
      </c>
      <c r="F213" s="15">
        <v>27.5</v>
      </c>
      <c r="G213" s="27" t="s">
        <v>718</v>
      </c>
      <c r="H213" s="28">
        <v>1450</v>
      </c>
      <c r="I213" s="38" t="s">
        <v>707</v>
      </c>
      <c r="J213" s="39">
        <v>274</v>
      </c>
      <c r="K213" s="42">
        <f>0.6*0.86*1.1</f>
        <v>0.5676000000000001</v>
      </c>
      <c r="L213" s="102"/>
      <c r="M213" s="335"/>
    </row>
    <row r="214" spans="2:13" ht="15" thickBot="1">
      <c r="B214" s="13" t="s">
        <v>1733</v>
      </c>
      <c r="C214" s="14">
        <v>75</v>
      </c>
      <c r="D214" s="15">
        <v>100</v>
      </c>
      <c r="E214" s="14">
        <v>500</v>
      </c>
      <c r="F214" s="15">
        <v>31.5</v>
      </c>
      <c r="G214" s="27" t="s">
        <v>718</v>
      </c>
      <c r="H214" s="28">
        <v>1450</v>
      </c>
      <c r="I214" s="38" t="s">
        <v>707</v>
      </c>
      <c r="J214" s="39">
        <v>275</v>
      </c>
      <c r="K214" s="42">
        <f>0.6*0.86*1.1</f>
        <v>0.5676000000000001</v>
      </c>
      <c r="L214" s="102"/>
      <c r="M214" s="335"/>
    </row>
    <row r="215" spans="2:13" ht="15" thickBot="1">
      <c r="B215" s="13" t="s">
        <v>1734</v>
      </c>
      <c r="C215" s="14">
        <v>90</v>
      </c>
      <c r="D215" s="15">
        <v>125</v>
      </c>
      <c r="E215" s="14">
        <v>500</v>
      </c>
      <c r="F215" s="15">
        <v>38.5</v>
      </c>
      <c r="G215" s="27" t="s">
        <v>718</v>
      </c>
      <c r="H215" s="28">
        <v>1450</v>
      </c>
      <c r="I215" s="38" t="s">
        <v>707</v>
      </c>
      <c r="J215" s="39">
        <v>276</v>
      </c>
      <c r="K215" s="42">
        <f>0.6*0.86*1.1</f>
        <v>0.5676000000000001</v>
      </c>
      <c r="L215" s="102"/>
      <c r="M215" s="335"/>
    </row>
    <row r="216" spans="2:13" ht="15" thickBot="1">
      <c r="B216" s="13" t="s">
        <v>1735</v>
      </c>
      <c r="C216" s="14">
        <v>75</v>
      </c>
      <c r="D216" s="15">
        <v>100</v>
      </c>
      <c r="E216" s="14">
        <v>500</v>
      </c>
      <c r="F216" s="15">
        <v>37.4</v>
      </c>
      <c r="G216" s="27" t="s">
        <v>718</v>
      </c>
      <c r="H216" s="28">
        <v>1450</v>
      </c>
      <c r="I216" s="38" t="s">
        <v>707</v>
      </c>
      <c r="J216" s="39">
        <v>421</v>
      </c>
      <c r="K216" s="42">
        <f>0.76*1*1.09</f>
        <v>0.82840000000000003</v>
      </c>
      <c r="L216" s="102"/>
      <c r="M216" s="335"/>
    </row>
    <row r="217" spans="2:13" ht="15" thickBot="1">
      <c r="B217" s="13" t="s">
        <v>1736</v>
      </c>
      <c r="C217" s="14">
        <v>90</v>
      </c>
      <c r="D217" s="15">
        <v>125</v>
      </c>
      <c r="E217" s="14">
        <v>500</v>
      </c>
      <c r="F217" s="15">
        <v>42.9</v>
      </c>
      <c r="G217" s="27" t="s">
        <v>718</v>
      </c>
      <c r="H217" s="28">
        <v>1450</v>
      </c>
      <c r="I217" s="38" t="s">
        <v>707</v>
      </c>
      <c r="J217" s="39">
        <v>422</v>
      </c>
      <c r="K217" s="42">
        <f>0.76*1*1.09</f>
        <v>0.82840000000000003</v>
      </c>
      <c r="L217" s="102"/>
      <c r="M217" s="335"/>
    </row>
    <row r="218" spans="2:13" ht="15" thickBot="1">
      <c r="B218" s="13" t="s">
        <v>1737</v>
      </c>
      <c r="C218" s="14">
        <v>110</v>
      </c>
      <c r="D218" s="15">
        <v>150</v>
      </c>
      <c r="E218" s="14">
        <v>500</v>
      </c>
      <c r="F218" s="15">
        <v>48.8</v>
      </c>
      <c r="G218" s="27" t="s">
        <v>718</v>
      </c>
      <c r="H218" s="28">
        <v>1450</v>
      </c>
      <c r="I218" s="38" t="s">
        <v>707</v>
      </c>
      <c r="J218" s="39">
        <v>423</v>
      </c>
      <c r="K218" s="42">
        <f>0.76*1*1.09</f>
        <v>0.82840000000000003</v>
      </c>
      <c r="L218" s="102"/>
      <c r="M218" s="335"/>
    </row>
    <row r="219" spans="2:13" ht="15" thickBot="1">
      <c r="B219" s="13" t="s">
        <v>1738</v>
      </c>
      <c r="C219" s="14">
        <v>132</v>
      </c>
      <c r="D219" s="15">
        <v>180</v>
      </c>
      <c r="E219" s="14">
        <v>600</v>
      </c>
      <c r="F219" s="15">
        <v>54</v>
      </c>
      <c r="G219" s="27" t="s">
        <v>718</v>
      </c>
      <c r="H219" s="28">
        <v>1450</v>
      </c>
      <c r="I219" s="38" t="s">
        <v>707</v>
      </c>
      <c r="J219" s="39">
        <v>424</v>
      </c>
      <c r="K219" s="42">
        <f>0.76*1*1.09</f>
        <v>0.82840000000000003</v>
      </c>
      <c r="L219" s="102"/>
      <c r="M219" s="335"/>
    </row>
    <row r="220" spans="2:13" ht="15" thickBot="1">
      <c r="B220" s="13" t="s">
        <v>1739</v>
      </c>
      <c r="C220" s="14">
        <v>90</v>
      </c>
      <c r="D220" s="15">
        <v>125</v>
      </c>
      <c r="E220" s="14">
        <v>900</v>
      </c>
      <c r="F220" s="15">
        <v>26.4</v>
      </c>
      <c r="G220" s="27" t="s">
        <v>719</v>
      </c>
      <c r="H220" s="28">
        <v>1450</v>
      </c>
      <c r="I220" s="38" t="s">
        <v>707</v>
      </c>
      <c r="J220" s="39">
        <v>367</v>
      </c>
      <c r="K220" s="42">
        <f>0.76*0.85*1.09</f>
        <v>0.7041400000000001</v>
      </c>
      <c r="L220" s="102"/>
      <c r="M220" s="335"/>
    </row>
    <row r="221" spans="2:13" ht="15" thickBot="1">
      <c r="B221" s="13" t="s">
        <v>1740</v>
      </c>
      <c r="C221" s="14">
        <v>110</v>
      </c>
      <c r="D221" s="15">
        <v>150</v>
      </c>
      <c r="E221" s="14">
        <v>900</v>
      </c>
      <c r="F221" s="15">
        <v>30.4</v>
      </c>
      <c r="G221" s="27" t="s">
        <v>719</v>
      </c>
      <c r="H221" s="28">
        <v>1450</v>
      </c>
      <c r="I221" s="38" t="s">
        <v>707</v>
      </c>
      <c r="J221" s="39">
        <v>369</v>
      </c>
      <c r="K221" s="42">
        <f>0.76*0.85*1.09</f>
        <v>0.7041400000000001</v>
      </c>
      <c r="L221" s="102"/>
      <c r="M221" s="335"/>
    </row>
    <row r="222" spans="2:13" ht="15" thickBot="1">
      <c r="B222" s="13" t="s">
        <v>1741</v>
      </c>
      <c r="C222" s="14">
        <v>132</v>
      </c>
      <c r="D222" s="15">
        <v>180</v>
      </c>
      <c r="E222" s="14">
        <v>1000</v>
      </c>
      <c r="F222" s="15">
        <v>33.799999999999997</v>
      </c>
      <c r="G222" s="27" t="s">
        <v>719</v>
      </c>
      <c r="H222" s="28">
        <v>1450</v>
      </c>
      <c r="I222" s="38" t="s">
        <v>707</v>
      </c>
      <c r="J222" s="39">
        <v>371</v>
      </c>
      <c r="K222" s="42">
        <f>0.76*0.85*1.09</f>
        <v>0.7041400000000001</v>
      </c>
      <c r="L222" s="102"/>
      <c r="M222" s="335"/>
    </row>
    <row r="223" spans="2:13" ht="15" thickBot="1">
      <c r="B223" s="13" t="s">
        <v>1742</v>
      </c>
      <c r="C223" s="14">
        <v>160</v>
      </c>
      <c r="D223" s="15">
        <v>220</v>
      </c>
      <c r="E223" s="14">
        <v>1000</v>
      </c>
      <c r="F223" s="15">
        <v>40.299999999999997</v>
      </c>
      <c r="G223" s="27" t="s">
        <v>719</v>
      </c>
      <c r="H223" s="28">
        <v>1450</v>
      </c>
      <c r="I223" s="38" t="s">
        <v>707</v>
      </c>
      <c r="J223" s="39">
        <v>373</v>
      </c>
      <c r="K223" s="42">
        <f>0.76*0.85*1.09</f>
        <v>0.7041400000000001</v>
      </c>
      <c r="L223" s="102"/>
      <c r="M223" s="335"/>
    </row>
    <row r="224" spans="2:13" ht="15" thickBot="1">
      <c r="B224" s="13" t="s">
        <v>1743</v>
      </c>
      <c r="C224" s="14">
        <v>160</v>
      </c>
      <c r="D224" s="15">
        <v>220</v>
      </c>
      <c r="E224" s="14">
        <v>1000</v>
      </c>
      <c r="F224" s="15">
        <v>37</v>
      </c>
      <c r="G224" s="27" t="s">
        <v>719</v>
      </c>
      <c r="H224" s="28">
        <v>1450</v>
      </c>
      <c r="I224" s="38" t="s">
        <v>707</v>
      </c>
      <c r="J224" s="39">
        <v>467</v>
      </c>
      <c r="K224" s="42">
        <f>0.76*1.07*1.15</f>
        <v>0.93518000000000001</v>
      </c>
      <c r="L224" s="102"/>
      <c r="M224" s="335"/>
    </row>
    <row r="225" spans="2:13" ht="15" thickBot="1">
      <c r="B225" s="13" t="s">
        <v>1744</v>
      </c>
      <c r="C225" s="14">
        <v>185</v>
      </c>
      <c r="D225" s="15">
        <v>250</v>
      </c>
      <c r="E225" s="14">
        <v>1000</v>
      </c>
      <c r="F225" s="15">
        <v>41</v>
      </c>
      <c r="G225" s="27" t="s">
        <v>719</v>
      </c>
      <c r="H225" s="28">
        <v>1450</v>
      </c>
      <c r="I225" s="38" t="s">
        <v>707</v>
      </c>
      <c r="J225" s="39">
        <v>469</v>
      </c>
      <c r="K225" s="42">
        <f>0.76*1.07*1.15</f>
        <v>0.93518000000000001</v>
      </c>
      <c r="L225" s="102"/>
      <c r="M225" s="335"/>
    </row>
    <row r="226" spans="2:13" ht="15" thickBot="1">
      <c r="B226" s="13" t="s">
        <v>1745</v>
      </c>
      <c r="C226" s="14">
        <v>200</v>
      </c>
      <c r="D226" s="15">
        <v>270</v>
      </c>
      <c r="E226" s="14">
        <v>1100</v>
      </c>
      <c r="F226" s="15">
        <v>46</v>
      </c>
      <c r="G226" s="27" t="s">
        <v>719</v>
      </c>
      <c r="H226" s="28">
        <v>1450</v>
      </c>
      <c r="I226" s="38" t="s">
        <v>707</v>
      </c>
      <c r="J226" s="39">
        <v>471</v>
      </c>
      <c r="K226" s="42">
        <f>0.76*1.07*1.15</f>
        <v>0.93518000000000001</v>
      </c>
      <c r="L226" s="102"/>
      <c r="M226" s="335"/>
    </row>
    <row r="227" spans="2:13" ht="15" thickBot="1">
      <c r="B227" s="13" t="s">
        <v>1746</v>
      </c>
      <c r="C227" s="14">
        <v>220</v>
      </c>
      <c r="D227" s="15">
        <v>300</v>
      </c>
      <c r="E227" s="14">
        <v>1100</v>
      </c>
      <c r="F227" s="15">
        <v>51</v>
      </c>
      <c r="G227" s="27" t="s">
        <v>719</v>
      </c>
      <c r="H227" s="28">
        <v>1450</v>
      </c>
      <c r="I227" s="38" t="s">
        <v>707</v>
      </c>
      <c r="J227" s="39">
        <v>473</v>
      </c>
      <c r="K227" s="42">
        <f>0.76*1.07*1.15</f>
        <v>0.93518000000000001</v>
      </c>
      <c r="L227" s="102"/>
      <c r="M227" s="335"/>
    </row>
    <row r="228" spans="2:13" ht="15" thickBot="1">
      <c r="B228" s="13" t="s">
        <v>1747</v>
      </c>
      <c r="C228" s="14">
        <v>250</v>
      </c>
      <c r="D228" s="15">
        <v>340</v>
      </c>
      <c r="E228" s="14">
        <v>1100</v>
      </c>
      <c r="F228" s="15">
        <v>59</v>
      </c>
      <c r="G228" s="27" t="s">
        <v>719</v>
      </c>
      <c r="H228" s="28">
        <v>1450</v>
      </c>
      <c r="I228" s="38" t="s">
        <v>707</v>
      </c>
      <c r="J228" s="39">
        <v>475</v>
      </c>
      <c r="K228" s="42">
        <f>0.76*1.07*1.15</f>
        <v>0.93518000000000001</v>
      </c>
      <c r="L228" s="102"/>
      <c r="M228" s="338"/>
    </row>
    <row r="229" spans="2:13" ht="23.25" thickBot="1">
      <c r="B229" s="8"/>
      <c r="C229" s="8"/>
      <c r="D229" s="8"/>
      <c r="E229" s="8"/>
      <c r="F229" s="8"/>
      <c r="G229" s="8"/>
      <c r="H229" s="1"/>
      <c r="I229" s="8"/>
      <c r="J229" s="1"/>
      <c r="K229" s="1"/>
      <c r="L229" s="8"/>
      <c r="M229" s="8"/>
    </row>
    <row r="230" spans="2:13" ht="15">
      <c r="B230" s="44" t="s">
        <v>1375</v>
      </c>
      <c r="C230" s="45" t="s">
        <v>2546</v>
      </c>
      <c r="D230" s="46"/>
      <c r="E230" s="51"/>
      <c r="F230" s="51"/>
      <c r="G230" s="51"/>
      <c r="H230" s="51"/>
      <c r="I230" s="51"/>
      <c r="J230" s="51"/>
      <c r="K230" s="51"/>
      <c r="L230" s="51"/>
      <c r="M230" s="51"/>
    </row>
    <row r="231" spans="2:13" ht="15">
      <c r="B231" s="47" t="s">
        <v>1374</v>
      </c>
      <c r="C231" s="48" t="s">
        <v>1388</v>
      </c>
      <c r="D231" s="49"/>
      <c r="E231" s="52"/>
      <c r="F231" s="52"/>
      <c r="G231" s="52"/>
      <c r="H231" s="52"/>
      <c r="I231" s="52"/>
      <c r="J231" s="52"/>
      <c r="K231" s="52"/>
      <c r="L231" s="52"/>
      <c r="M231" s="52"/>
    </row>
    <row r="232" spans="2:13" ht="15">
      <c r="B232" s="47" t="s">
        <v>1376</v>
      </c>
      <c r="C232" s="48" t="s">
        <v>2545</v>
      </c>
      <c r="D232" s="49"/>
      <c r="E232" s="52"/>
      <c r="F232" s="52"/>
      <c r="G232" s="52"/>
      <c r="H232" s="52"/>
      <c r="I232" s="52"/>
      <c r="J232" s="52"/>
      <c r="K232" s="52"/>
      <c r="L232" s="52"/>
      <c r="M232" s="52"/>
    </row>
    <row r="233" spans="2:13" ht="15">
      <c r="B233" s="60" t="s">
        <v>2544</v>
      </c>
      <c r="C233" s="56" t="s">
        <v>2981</v>
      </c>
      <c r="D233" s="57"/>
      <c r="E233" s="58"/>
      <c r="F233" s="58"/>
      <c r="G233" s="58"/>
      <c r="H233" s="58"/>
      <c r="I233" s="58"/>
      <c r="J233" s="58"/>
      <c r="K233" s="58"/>
      <c r="L233" s="58"/>
      <c r="M233" s="58"/>
    </row>
    <row r="234" spans="2:13" ht="15">
      <c r="B234" s="60" t="s">
        <v>2687</v>
      </c>
      <c r="C234" s="56" t="s">
        <v>2982</v>
      </c>
      <c r="D234" s="57"/>
      <c r="E234" s="58"/>
      <c r="F234" s="58"/>
      <c r="G234" s="58"/>
      <c r="H234" s="58"/>
      <c r="I234" s="58"/>
      <c r="J234" s="58"/>
      <c r="K234" s="58"/>
      <c r="L234" s="58"/>
      <c r="M234" s="58"/>
    </row>
  </sheetData>
  <mergeCells count="14">
    <mergeCell ref="M203:M209"/>
    <mergeCell ref="M43:M47"/>
    <mergeCell ref="M99:M125"/>
    <mergeCell ref="M212:M228"/>
    <mergeCell ref="M61:M63"/>
    <mergeCell ref="M75:M76"/>
    <mergeCell ref="M78:M81"/>
    <mergeCell ref="M90:M97"/>
    <mergeCell ref="M189:M191"/>
    <mergeCell ref="B5:B6"/>
    <mergeCell ref="C5:D6"/>
    <mergeCell ref="E5:F5"/>
    <mergeCell ref="L5:M5"/>
    <mergeCell ref="L6:M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7">
    <tabColor theme="0" tint="-0.249977111117893"/>
  </sheetPr>
  <dimension ref="B3:M19"/>
  <sheetViews>
    <sheetView workbookViewId="0"/>
  </sheetViews>
  <sheetFormatPr defaultRowHeight="14.25"/>
  <cols>
    <col min="1" max="1" width="35.875" customWidth="1"/>
    <col min="2" max="2" width="12.5" customWidth="1"/>
    <col min="12" max="12" width="12" customWidth="1"/>
    <col min="13" max="13" width="10.375" customWidth="1"/>
  </cols>
  <sheetData>
    <row r="3" spans="2:13" ht="25.5">
      <c r="B3" s="53" t="s">
        <v>833</v>
      </c>
      <c r="C3" s="6"/>
      <c r="D3" s="6"/>
      <c r="E3" s="6"/>
      <c r="F3" s="6"/>
      <c r="G3" s="6"/>
      <c r="H3" s="17"/>
      <c r="I3" s="6"/>
      <c r="J3" s="29"/>
      <c r="K3" s="29"/>
      <c r="L3" s="6"/>
      <c r="M3" s="6"/>
    </row>
    <row r="4" spans="2:13" ht="23.25" thickBot="1">
      <c r="B4" s="8"/>
      <c r="C4" s="8"/>
      <c r="D4" s="8"/>
      <c r="E4" s="8"/>
      <c r="F4" s="8"/>
      <c r="G4" s="8"/>
      <c r="H4" s="1"/>
      <c r="I4" s="8"/>
      <c r="J4" s="1"/>
      <c r="K4" s="1"/>
      <c r="L4" s="8"/>
      <c r="M4" s="8"/>
    </row>
    <row r="5" spans="2:13">
      <c r="B5" s="253" t="s">
        <v>0</v>
      </c>
      <c r="C5" s="255" t="s">
        <v>1</v>
      </c>
      <c r="D5" s="253"/>
      <c r="E5" s="265" t="s">
        <v>2</v>
      </c>
      <c r="F5" s="265"/>
      <c r="G5" s="18" t="s">
        <v>3</v>
      </c>
      <c r="H5" s="19" t="s">
        <v>4</v>
      </c>
      <c r="I5" s="30" t="s">
        <v>5</v>
      </c>
      <c r="J5" s="31" t="s">
        <v>6</v>
      </c>
      <c r="K5" s="31" t="s">
        <v>7</v>
      </c>
      <c r="L5" s="259" t="s">
        <v>8</v>
      </c>
      <c r="M5" s="255"/>
    </row>
    <row r="6" spans="2:13" ht="15">
      <c r="B6" s="254"/>
      <c r="C6" s="256"/>
      <c r="D6" s="254"/>
      <c r="E6" s="20" t="s">
        <v>9</v>
      </c>
      <c r="F6" s="10" t="s">
        <v>10</v>
      </c>
      <c r="G6" s="21"/>
      <c r="H6" s="22"/>
      <c r="I6" s="32"/>
      <c r="J6" s="33"/>
      <c r="K6" s="33"/>
      <c r="L6" s="260" t="s">
        <v>11</v>
      </c>
      <c r="M6" s="261"/>
    </row>
    <row r="7" spans="2:13" ht="15.75" thickBot="1">
      <c r="B7" s="11"/>
      <c r="C7" s="12" t="s">
        <v>12</v>
      </c>
      <c r="D7" s="11" t="s">
        <v>13</v>
      </c>
      <c r="E7" s="23" t="s">
        <v>14</v>
      </c>
      <c r="F7" s="24" t="s">
        <v>15</v>
      </c>
      <c r="G7" s="25" t="s">
        <v>16</v>
      </c>
      <c r="H7" s="26" t="s">
        <v>17</v>
      </c>
      <c r="I7" s="34"/>
      <c r="J7" s="35" t="s">
        <v>18</v>
      </c>
      <c r="K7" s="36" t="s">
        <v>19</v>
      </c>
      <c r="L7" s="37" t="s">
        <v>834</v>
      </c>
      <c r="M7" s="43" t="s">
        <v>835</v>
      </c>
    </row>
    <row r="8" spans="2:13" ht="15" thickBot="1">
      <c r="B8" s="13" t="s">
        <v>836</v>
      </c>
      <c r="C8" s="14">
        <v>9.1999999999999993</v>
      </c>
      <c r="D8" s="15">
        <v>12.5</v>
      </c>
      <c r="E8" s="14">
        <v>40</v>
      </c>
      <c r="F8" s="15">
        <v>27</v>
      </c>
      <c r="G8" s="27" t="s">
        <v>515</v>
      </c>
      <c r="H8" s="28">
        <v>2900</v>
      </c>
      <c r="I8" s="38" t="s">
        <v>707</v>
      </c>
      <c r="J8" s="39">
        <v>109</v>
      </c>
      <c r="K8" s="40">
        <f>0.635*0.328*0.672</f>
        <v>0.13996416000000003</v>
      </c>
      <c r="L8" s="78">
        <v>3680.67</v>
      </c>
      <c r="M8" s="78">
        <v>3530.73</v>
      </c>
    </row>
    <row r="9" spans="2:13" ht="15" thickBot="1">
      <c r="B9" s="13" t="s">
        <v>837</v>
      </c>
      <c r="C9" s="14">
        <v>18.5</v>
      </c>
      <c r="D9" s="15">
        <v>25</v>
      </c>
      <c r="E9" s="14">
        <v>85</v>
      </c>
      <c r="F9" s="15">
        <v>24.5</v>
      </c>
      <c r="G9" s="27" t="s">
        <v>831</v>
      </c>
      <c r="H9" s="28">
        <v>2150</v>
      </c>
      <c r="I9" s="38" t="s">
        <v>707</v>
      </c>
      <c r="J9" s="39">
        <v>207</v>
      </c>
      <c r="K9" s="42">
        <f>0.733*0.397*0.82</f>
        <v>0.23862081999999998</v>
      </c>
      <c r="L9" s="78">
        <v>4537.47</v>
      </c>
      <c r="M9" s="78">
        <v>4355.3999999999996</v>
      </c>
    </row>
    <row r="10" spans="2:13" ht="15" thickBot="1">
      <c r="B10" s="13" t="s">
        <v>838</v>
      </c>
      <c r="C10" s="14">
        <v>30</v>
      </c>
      <c r="D10" s="15">
        <v>40</v>
      </c>
      <c r="E10" s="14">
        <v>135</v>
      </c>
      <c r="F10" s="15">
        <v>25</v>
      </c>
      <c r="G10" s="27" t="s">
        <v>832</v>
      </c>
      <c r="H10" s="28">
        <v>1950</v>
      </c>
      <c r="I10" s="38" t="s">
        <v>707</v>
      </c>
      <c r="J10" s="39">
        <v>298</v>
      </c>
      <c r="K10" s="42">
        <f>0.834*0.448*0.88</f>
        <v>0.32879615999999995</v>
      </c>
      <c r="L10" s="78">
        <v>5247.9000000000005</v>
      </c>
      <c r="M10" s="78">
        <v>5033.7</v>
      </c>
    </row>
    <row r="11" spans="2:13" ht="15" thickBot="1">
      <c r="B11" s="13" t="s">
        <v>839</v>
      </c>
      <c r="C11" s="14">
        <v>37</v>
      </c>
      <c r="D11" s="15">
        <v>50</v>
      </c>
      <c r="E11" s="14">
        <v>280</v>
      </c>
      <c r="F11" s="15">
        <v>18</v>
      </c>
      <c r="G11" s="27" t="s">
        <v>840</v>
      </c>
      <c r="H11" s="28">
        <v>1550</v>
      </c>
      <c r="I11" s="38" t="s">
        <v>707</v>
      </c>
      <c r="J11" s="39">
        <v>477</v>
      </c>
      <c r="K11" s="42">
        <f>0.927*0.6*1.008</f>
        <v>0.56064960000000008</v>
      </c>
      <c r="L11" s="78">
        <v>7097.16</v>
      </c>
      <c r="M11" s="78">
        <v>6725.88</v>
      </c>
    </row>
    <row r="12" spans="2:13" ht="15" thickBot="1">
      <c r="B12" s="13" t="s">
        <v>841</v>
      </c>
      <c r="C12" s="14">
        <v>75</v>
      </c>
      <c r="D12" s="15">
        <v>100</v>
      </c>
      <c r="E12" s="14">
        <v>500</v>
      </c>
      <c r="F12" s="15">
        <v>26</v>
      </c>
      <c r="G12" s="27" t="s">
        <v>842</v>
      </c>
      <c r="H12" s="28">
        <v>1450</v>
      </c>
      <c r="I12" s="38" t="s">
        <v>707</v>
      </c>
      <c r="J12" s="39">
        <v>719</v>
      </c>
      <c r="K12" s="42">
        <f>1.043*0.736*1.19</f>
        <v>0.91350111999999983</v>
      </c>
      <c r="L12" s="78">
        <v>13201.86</v>
      </c>
      <c r="M12" s="78">
        <v>12377.19</v>
      </c>
    </row>
    <row r="13" spans="2:13" ht="15" thickBot="1">
      <c r="B13" s="13" t="s">
        <v>843</v>
      </c>
      <c r="C13" s="14">
        <v>90</v>
      </c>
      <c r="D13" s="15">
        <v>125</v>
      </c>
      <c r="E13" s="14">
        <v>600</v>
      </c>
      <c r="F13" s="15">
        <v>31</v>
      </c>
      <c r="G13" s="27" t="s">
        <v>844</v>
      </c>
      <c r="H13" s="28">
        <v>1450</v>
      </c>
      <c r="I13" s="38" t="s">
        <v>707</v>
      </c>
      <c r="J13" s="39">
        <v>780</v>
      </c>
      <c r="K13" s="42">
        <f>1.265*0.725*1.17</f>
        <v>1.0730362499999997</v>
      </c>
      <c r="L13" s="78">
        <v>15593.76</v>
      </c>
      <c r="M13" s="78">
        <v>14354.97</v>
      </c>
    </row>
    <row r="14" spans="2:13" ht="23.25" thickBot="1">
      <c r="B14" s="8"/>
      <c r="C14" s="8"/>
      <c r="D14" s="8"/>
      <c r="E14" s="8"/>
      <c r="F14" s="8"/>
      <c r="G14" s="8"/>
      <c r="H14" s="1"/>
      <c r="I14" s="8"/>
      <c r="J14" s="1"/>
      <c r="K14" s="1"/>
      <c r="L14" s="8"/>
      <c r="M14" s="8"/>
    </row>
    <row r="15" spans="2:13" ht="15">
      <c r="B15" s="44" t="s">
        <v>190</v>
      </c>
      <c r="C15" s="45" t="s">
        <v>527</v>
      </c>
      <c r="D15" s="46"/>
      <c r="E15" s="51"/>
      <c r="F15" s="51"/>
      <c r="G15" s="51"/>
      <c r="H15" s="51"/>
      <c r="I15" s="51"/>
      <c r="J15" s="51"/>
      <c r="K15" s="51"/>
      <c r="L15" s="51"/>
      <c r="M15" s="51"/>
    </row>
    <row r="16" spans="2:13" ht="15">
      <c r="B16" s="47" t="s">
        <v>192</v>
      </c>
      <c r="C16" s="48" t="s">
        <v>830</v>
      </c>
      <c r="D16" s="49"/>
      <c r="E16" s="52"/>
      <c r="F16" s="52"/>
      <c r="G16" s="52"/>
      <c r="H16" s="52"/>
      <c r="I16" s="52"/>
      <c r="J16" s="52"/>
      <c r="K16" s="52"/>
      <c r="L16" s="52"/>
      <c r="M16" s="52"/>
    </row>
    <row r="17" spans="2:13" ht="15">
      <c r="B17" s="47" t="s">
        <v>193</v>
      </c>
      <c r="C17" s="48" t="s">
        <v>845</v>
      </c>
      <c r="D17" s="49"/>
      <c r="E17" s="52"/>
      <c r="F17" s="52"/>
      <c r="G17" s="52"/>
      <c r="H17" s="52"/>
      <c r="I17" s="52"/>
      <c r="J17" s="52"/>
      <c r="K17" s="52"/>
      <c r="L17" s="52"/>
      <c r="M17" s="52"/>
    </row>
    <row r="18" spans="2:13" ht="15">
      <c r="B18" s="47" t="s">
        <v>194</v>
      </c>
      <c r="C18" s="48" t="s">
        <v>195</v>
      </c>
      <c r="D18" s="49"/>
      <c r="E18" s="52"/>
      <c r="F18" s="52"/>
      <c r="G18" s="52"/>
      <c r="H18" s="52"/>
      <c r="I18" s="52"/>
      <c r="J18" s="52"/>
      <c r="K18" s="52"/>
      <c r="L18" s="52"/>
      <c r="M18" s="52"/>
    </row>
    <row r="19" spans="2:13" ht="15">
      <c r="B19" s="60" t="s">
        <v>846</v>
      </c>
      <c r="C19" s="56" t="s">
        <v>847</v>
      </c>
      <c r="D19" s="57"/>
      <c r="E19" s="58"/>
      <c r="F19" s="58"/>
      <c r="G19" s="58"/>
      <c r="H19" s="58"/>
      <c r="I19" s="58"/>
      <c r="J19" s="58"/>
      <c r="K19" s="58"/>
      <c r="L19" s="58"/>
      <c r="M19" s="58"/>
    </row>
  </sheetData>
  <mergeCells count="5">
    <mergeCell ref="B5:B6"/>
    <mergeCell ref="C5:D6"/>
    <mergeCell ref="E5:F5"/>
    <mergeCell ref="L5:M5"/>
    <mergeCell ref="L6:M6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28">
    <tabColor theme="7" tint="0.39997558519241921"/>
  </sheetPr>
  <dimension ref="C3:Q56"/>
  <sheetViews>
    <sheetView zoomScale="85" zoomScaleNormal="85" workbookViewId="0"/>
  </sheetViews>
  <sheetFormatPr defaultRowHeight="14.25"/>
  <cols>
    <col min="3" max="3" width="28.75" customWidth="1"/>
    <col min="4" max="4" width="33.75" customWidth="1"/>
    <col min="12" max="12" width="14.375" customWidth="1"/>
    <col min="15" max="15" width="20.75" customWidth="1"/>
    <col min="16" max="16" width="22" customWidth="1"/>
  </cols>
  <sheetData>
    <row r="3" spans="3:17" ht="24.75" customHeight="1">
      <c r="D3" s="113" t="s">
        <v>2681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65"/>
    </row>
    <row r="4" spans="3:17" ht="26.25" thickBot="1">
      <c r="D4" s="113" t="s">
        <v>2666</v>
      </c>
      <c r="E4" s="62"/>
      <c r="F4" s="62"/>
      <c r="G4" s="62"/>
      <c r="H4" s="62"/>
      <c r="I4" s="62"/>
      <c r="J4" s="62"/>
      <c r="K4" s="17"/>
      <c r="L4" s="62"/>
      <c r="M4" s="29"/>
      <c r="N4" s="29"/>
      <c r="O4" s="62"/>
      <c r="P4" s="183"/>
    </row>
    <row r="5" spans="3:17" ht="28.5">
      <c r="C5" s="3"/>
      <c r="D5" s="267" t="s">
        <v>2680</v>
      </c>
      <c r="E5" s="255" t="s">
        <v>2667</v>
      </c>
      <c r="F5" s="267"/>
      <c r="G5" s="265" t="s">
        <v>2679</v>
      </c>
      <c r="H5" s="265"/>
      <c r="I5" s="160" t="s">
        <v>2672</v>
      </c>
      <c r="J5" s="18" t="s">
        <v>2614</v>
      </c>
      <c r="K5" s="19" t="s">
        <v>4</v>
      </c>
      <c r="L5" s="30" t="s">
        <v>2674</v>
      </c>
      <c r="M5" s="31" t="s">
        <v>2675</v>
      </c>
      <c r="N5" s="31" t="s">
        <v>2677</v>
      </c>
      <c r="O5" s="33" t="s">
        <v>2682</v>
      </c>
    </row>
    <row r="6" spans="3:17" ht="15">
      <c r="C6" s="9"/>
      <c r="D6" s="268"/>
      <c r="E6" s="256"/>
      <c r="F6" s="268"/>
      <c r="G6" s="20"/>
      <c r="H6" s="10"/>
      <c r="I6" s="33"/>
      <c r="J6" s="21"/>
      <c r="K6" s="22"/>
      <c r="L6" s="32"/>
      <c r="M6" s="33"/>
      <c r="N6" s="33"/>
    </row>
    <row r="7" spans="3:17" ht="15.75" thickBot="1">
      <c r="C7" s="3"/>
      <c r="D7" s="11"/>
      <c r="E7" s="12" t="s">
        <v>2668</v>
      </c>
      <c r="F7" s="11" t="s">
        <v>2669</v>
      </c>
      <c r="G7" s="23" t="s">
        <v>2670</v>
      </c>
      <c r="H7" s="24" t="s">
        <v>2671</v>
      </c>
      <c r="I7" s="164" t="s">
        <v>2615</v>
      </c>
      <c r="J7" s="25"/>
      <c r="K7" s="26" t="s">
        <v>2673</v>
      </c>
      <c r="L7" s="34"/>
      <c r="M7" s="35" t="s">
        <v>2676</v>
      </c>
      <c r="N7" s="36" t="s">
        <v>2678</v>
      </c>
    </row>
    <row r="8" spans="3:17" ht="15.75" thickBot="1">
      <c r="C8" s="2"/>
      <c r="D8" s="174" t="s">
        <v>2616</v>
      </c>
      <c r="E8" s="175">
        <v>0.75</v>
      </c>
      <c r="F8" s="176">
        <v>1</v>
      </c>
      <c r="G8" s="175">
        <v>380</v>
      </c>
      <c r="H8" s="176">
        <v>50</v>
      </c>
      <c r="I8" s="177">
        <v>1.72</v>
      </c>
      <c r="J8" s="178">
        <v>73</v>
      </c>
      <c r="K8" s="179">
        <v>2900</v>
      </c>
      <c r="L8" s="180" t="s">
        <v>2617</v>
      </c>
      <c r="M8" s="181">
        <v>19</v>
      </c>
      <c r="N8" s="182">
        <v>1.6E-2</v>
      </c>
      <c r="O8" s="78">
        <v>212.05800000000002</v>
      </c>
      <c r="Q8" s="64"/>
    </row>
    <row r="9" spans="3:17" ht="15.75" thickBot="1">
      <c r="C9" s="2"/>
      <c r="D9" s="174" t="s">
        <v>2618</v>
      </c>
      <c r="E9" s="175">
        <v>1.1000000000000001</v>
      </c>
      <c r="F9" s="176">
        <v>1.5</v>
      </c>
      <c r="G9" s="175">
        <v>380</v>
      </c>
      <c r="H9" s="176">
        <v>50</v>
      </c>
      <c r="I9" s="177">
        <v>2.4300000000000002</v>
      </c>
      <c r="J9" s="178">
        <v>73</v>
      </c>
      <c r="K9" s="179">
        <v>2900</v>
      </c>
      <c r="L9" s="180" t="s">
        <v>2617</v>
      </c>
      <c r="M9" s="181">
        <v>21</v>
      </c>
      <c r="N9" s="182">
        <v>1.6E-2</v>
      </c>
      <c r="O9" s="78">
        <v>227.40900000000002</v>
      </c>
      <c r="Q9" s="64"/>
    </row>
    <row r="10" spans="3:17" ht="15.75" thickBot="1">
      <c r="C10" s="2"/>
      <c r="D10" s="174" t="s">
        <v>2619</v>
      </c>
      <c r="E10" s="175">
        <v>1.5</v>
      </c>
      <c r="F10" s="176">
        <v>2</v>
      </c>
      <c r="G10" s="175">
        <v>380</v>
      </c>
      <c r="H10" s="176">
        <v>50</v>
      </c>
      <c r="I10" s="177">
        <v>3.22</v>
      </c>
      <c r="J10" s="178">
        <v>76</v>
      </c>
      <c r="K10" s="179">
        <v>2900</v>
      </c>
      <c r="L10" s="180" t="s">
        <v>2617</v>
      </c>
      <c r="M10" s="181">
        <v>25</v>
      </c>
      <c r="N10" s="182">
        <v>0.02</v>
      </c>
      <c r="O10" s="78">
        <v>280.245</v>
      </c>
      <c r="Q10" s="64"/>
    </row>
    <row r="11" spans="3:17" ht="15.75" thickBot="1">
      <c r="C11" s="2"/>
      <c r="D11" s="174" t="s">
        <v>2620</v>
      </c>
      <c r="E11" s="175">
        <v>2.2000000000000002</v>
      </c>
      <c r="F11" s="176">
        <v>3</v>
      </c>
      <c r="G11" s="175">
        <v>380</v>
      </c>
      <c r="H11" s="176">
        <v>50</v>
      </c>
      <c r="I11" s="177">
        <v>4.58</v>
      </c>
      <c r="J11" s="178">
        <v>77</v>
      </c>
      <c r="K11" s="179">
        <v>2900</v>
      </c>
      <c r="L11" s="180" t="s">
        <v>2617</v>
      </c>
      <c r="M11" s="181">
        <v>29</v>
      </c>
      <c r="N11" s="182">
        <v>2.1000000000000001E-2</v>
      </c>
      <c r="O11" s="78">
        <v>322.37100000000004</v>
      </c>
      <c r="Q11" s="64"/>
    </row>
    <row r="12" spans="3:17" ht="15.75" thickBot="1">
      <c r="C12" s="2"/>
      <c r="D12" s="174" t="s">
        <v>2621</v>
      </c>
      <c r="E12" s="175">
        <v>3</v>
      </c>
      <c r="F12" s="176">
        <v>4</v>
      </c>
      <c r="G12" s="175">
        <v>380</v>
      </c>
      <c r="H12" s="176">
        <v>50</v>
      </c>
      <c r="I12" s="177">
        <v>6.02</v>
      </c>
      <c r="J12" s="178">
        <v>79</v>
      </c>
      <c r="K12" s="179">
        <v>2900</v>
      </c>
      <c r="L12" s="180" t="s">
        <v>2617</v>
      </c>
      <c r="M12" s="181">
        <v>41</v>
      </c>
      <c r="N12" s="182">
        <v>2.9000000000000001E-2</v>
      </c>
      <c r="O12" s="78">
        <v>447.32100000000003</v>
      </c>
      <c r="Q12" s="64"/>
    </row>
    <row r="13" spans="3:17" ht="15.75" thickBot="1">
      <c r="C13" s="2"/>
      <c r="D13" s="174" t="s">
        <v>2622</v>
      </c>
      <c r="E13" s="175">
        <v>4</v>
      </c>
      <c r="F13" s="176">
        <v>5.5</v>
      </c>
      <c r="G13" s="175">
        <v>380</v>
      </c>
      <c r="H13" s="176">
        <v>50</v>
      </c>
      <c r="I13" s="177">
        <v>7.84</v>
      </c>
      <c r="J13" s="178">
        <v>80</v>
      </c>
      <c r="K13" s="179">
        <v>2900</v>
      </c>
      <c r="L13" s="180" t="s">
        <v>2617</v>
      </c>
      <c r="M13" s="181">
        <v>51</v>
      </c>
      <c r="N13" s="182">
        <v>3.6999999999999998E-2</v>
      </c>
      <c r="O13" s="78">
        <v>523.005</v>
      </c>
      <c r="Q13" s="64"/>
    </row>
    <row r="14" spans="3:17" ht="15.75" thickBot="1">
      <c r="C14" s="2"/>
      <c r="D14" s="174" t="s">
        <v>2623</v>
      </c>
      <c r="E14" s="175">
        <v>5.5</v>
      </c>
      <c r="F14" s="176">
        <v>7.5</v>
      </c>
      <c r="G14" s="175">
        <v>380</v>
      </c>
      <c r="H14" s="176">
        <v>50</v>
      </c>
      <c r="I14" s="177">
        <v>10.6</v>
      </c>
      <c r="J14" s="178">
        <v>83</v>
      </c>
      <c r="K14" s="179">
        <v>2900</v>
      </c>
      <c r="L14" s="180" t="s">
        <v>2617</v>
      </c>
      <c r="M14" s="181">
        <v>67</v>
      </c>
      <c r="N14" s="182">
        <v>4.9000000000000002E-2</v>
      </c>
      <c r="O14" s="78">
        <v>741.84600000000012</v>
      </c>
      <c r="Q14" s="64"/>
    </row>
    <row r="15" spans="3:17" ht="15.75" thickBot="1">
      <c r="C15" s="2"/>
      <c r="D15" s="174" t="s">
        <v>2624</v>
      </c>
      <c r="E15" s="175">
        <v>7.5</v>
      </c>
      <c r="F15" s="176">
        <v>10</v>
      </c>
      <c r="G15" s="175">
        <v>380</v>
      </c>
      <c r="H15" s="176">
        <v>50</v>
      </c>
      <c r="I15" s="177">
        <v>14.4</v>
      </c>
      <c r="J15" s="178">
        <v>84</v>
      </c>
      <c r="K15" s="179">
        <v>2900</v>
      </c>
      <c r="L15" s="180" t="s">
        <v>2617</v>
      </c>
      <c r="M15" s="181">
        <v>74</v>
      </c>
      <c r="N15" s="182">
        <v>5.2999999999999999E-2</v>
      </c>
      <c r="O15" s="78">
        <v>786.82799999999997</v>
      </c>
      <c r="Q15" s="64"/>
    </row>
    <row r="16" spans="3:17" ht="15.75" thickBot="1">
      <c r="C16" s="2"/>
      <c r="D16" s="174" t="s">
        <v>2625</v>
      </c>
      <c r="E16" s="175">
        <v>11</v>
      </c>
      <c r="F16" s="176">
        <v>15</v>
      </c>
      <c r="G16" s="175">
        <v>380</v>
      </c>
      <c r="H16" s="176">
        <v>50</v>
      </c>
      <c r="I16" s="177">
        <v>20.6</v>
      </c>
      <c r="J16" s="178">
        <v>87</v>
      </c>
      <c r="K16" s="179">
        <v>2900</v>
      </c>
      <c r="L16" s="180" t="s">
        <v>2617</v>
      </c>
      <c r="M16" s="181">
        <v>125</v>
      </c>
      <c r="N16" s="182">
        <v>0.109</v>
      </c>
      <c r="O16" s="78">
        <v>1257.711</v>
      </c>
      <c r="Q16" s="64"/>
    </row>
    <row r="17" spans="3:17" ht="15.75" thickBot="1">
      <c r="C17" s="2"/>
      <c r="D17" s="174" t="s">
        <v>2626</v>
      </c>
      <c r="E17" s="175">
        <v>15</v>
      </c>
      <c r="F17" s="176">
        <v>20</v>
      </c>
      <c r="G17" s="175">
        <v>380</v>
      </c>
      <c r="H17" s="176">
        <v>50</v>
      </c>
      <c r="I17" s="177">
        <v>27.9</v>
      </c>
      <c r="J17" s="178">
        <v>87</v>
      </c>
      <c r="K17" s="179">
        <v>2900</v>
      </c>
      <c r="L17" s="180" t="s">
        <v>2617</v>
      </c>
      <c r="M17" s="181">
        <v>133</v>
      </c>
      <c r="N17" s="182">
        <v>0.109</v>
      </c>
      <c r="O17" s="78">
        <v>1369.095</v>
      </c>
      <c r="Q17" s="64"/>
    </row>
    <row r="18" spans="3:17" ht="15.75" thickBot="1">
      <c r="C18" s="2"/>
      <c r="D18" s="174" t="s">
        <v>2627</v>
      </c>
      <c r="E18" s="175">
        <v>18.5</v>
      </c>
      <c r="F18" s="176">
        <v>25</v>
      </c>
      <c r="G18" s="175">
        <v>380</v>
      </c>
      <c r="H18" s="176">
        <v>50</v>
      </c>
      <c r="I18" s="177">
        <v>34.200000000000003</v>
      </c>
      <c r="J18" s="178">
        <v>90</v>
      </c>
      <c r="K18" s="179">
        <v>2900</v>
      </c>
      <c r="L18" s="180" t="s">
        <v>2617</v>
      </c>
      <c r="M18" s="181">
        <v>155</v>
      </c>
      <c r="N18" s="182">
        <v>0.11700000000000001</v>
      </c>
      <c r="O18" s="78">
        <v>1568.3009999999999</v>
      </c>
      <c r="Q18" s="64"/>
    </row>
    <row r="19" spans="3:17" ht="15.75" thickBot="1">
      <c r="C19" s="2"/>
      <c r="D19" s="174" t="s">
        <v>2628</v>
      </c>
      <c r="E19" s="175">
        <v>22</v>
      </c>
      <c r="F19" s="176">
        <v>30</v>
      </c>
      <c r="G19" s="175">
        <v>380</v>
      </c>
      <c r="H19" s="176">
        <v>50</v>
      </c>
      <c r="I19" s="177">
        <v>40.5</v>
      </c>
      <c r="J19" s="178">
        <v>90</v>
      </c>
      <c r="K19" s="179">
        <v>2900</v>
      </c>
      <c r="L19" s="180" t="s">
        <v>2617</v>
      </c>
      <c r="M19" s="181">
        <v>190</v>
      </c>
      <c r="N19" s="182">
        <v>0.14599999999999999</v>
      </c>
      <c r="O19" s="78">
        <v>1917.0900000000001</v>
      </c>
      <c r="Q19" s="64"/>
    </row>
    <row r="20" spans="3:17" ht="15.75" thickBot="1">
      <c r="C20" s="2"/>
      <c r="D20" s="174" t="s">
        <v>2629</v>
      </c>
      <c r="E20" s="175">
        <v>30</v>
      </c>
      <c r="F20" s="176">
        <v>40</v>
      </c>
      <c r="G20" s="175">
        <v>380</v>
      </c>
      <c r="H20" s="176">
        <v>50</v>
      </c>
      <c r="I20" s="177">
        <v>54.9</v>
      </c>
      <c r="J20" s="178">
        <v>91</v>
      </c>
      <c r="K20" s="179">
        <v>2900</v>
      </c>
      <c r="L20" s="180" t="s">
        <v>2617</v>
      </c>
      <c r="M20" s="181">
        <v>254</v>
      </c>
      <c r="N20" s="182">
        <v>0.19900000000000001</v>
      </c>
      <c r="O20" s="78">
        <v>2499.357</v>
      </c>
      <c r="Q20" s="64"/>
    </row>
    <row r="21" spans="3:17" ht="15.75" thickBot="1">
      <c r="C21" s="2"/>
      <c r="D21" s="174" t="s">
        <v>2630</v>
      </c>
      <c r="E21" s="175">
        <v>37</v>
      </c>
      <c r="F21" s="176">
        <v>50</v>
      </c>
      <c r="G21" s="175">
        <v>380</v>
      </c>
      <c r="H21" s="176">
        <v>50</v>
      </c>
      <c r="I21" s="177">
        <v>67.400000000000006</v>
      </c>
      <c r="J21" s="178">
        <v>91</v>
      </c>
      <c r="K21" s="179">
        <v>2900</v>
      </c>
      <c r="L21" s="180" t="s">
        <v>2617</v>
      </c>
      <c r="M21" s="181">
        <v>269</v>
      </c>
      <c r="N21" s="182">
        <v>0.19900000000000001</v>
      </c>
      <c r="O21" s="78">
        <v>2688.9240000000004</v>
      </c>
      <c r="Q21" s="64"/>
    </row>
    <row r="22" spans="3:17" ht="15.75" thickBot="1">
      <c r="C22" s="2"/>
      <c r="D22" s="174" t="s">
        <v>2631</v>
      </c>
      <c r="E22" s="175">
        <v>45</v>
      </c>
      <c r="F22" s="176">
        <v>60</v>
      </c>
      <c r="G22" s="175">
        <v>380</v>
      </c>
      <c r="H22" s="176">
        <v>50</v>
      </c>
      <c r="I22" s="177">
        <v>80.8</v>
      </c>
      <c r="J22" s="178">
        <v>93</v>
      </c>
      <c r="K22" s="179">
        <v>2900</v>
      </c>
      <c r="L22" s="180" t="s">
        <v>2617</v>
      </c>
      <c r="M22" s="181">
        <v>326</v>
      </c>
      <c r="N22" s="182">
        <v>0.249</v>
      </c>
      <c r="O22" s="78">
        <v>3270.8340000000003</v>
      </c>
      <c r="Q22" s="64"/>
    </row>
    <row r="23" spans="3:17" ht="15.75" thickBot="1">
      <c r="C23" s="2"/>
      <c r="D23" s="174" t="s">
        <v>2632</v>
      </c>
      <c r="E23" s="175">
        <v>55</v>
      </c>
      <c r="F23" s="176">
        <v>75</v>
      </c>
      <c r="G23" s="175">
        <v>380</v>
      </c>
      <c r="H23" s="176">
        <v>50</v>
      </c>
      <c r="I23" s="177">
        <v>98.5</v>
      </c>
      <c r="J23" s="178">
        <v>93</v>
      </c>
      <c r="K23" s="179">
        <v>2900</v>
      </c>
      <c r="L23" s="180" t="s">
        <v>2617</v>
      </c>
      <c r="M23" s="181">
        <v>427</v>
      </c>
      <c r="N23" s="182">
        <v>0.33700000000000002</v>
      </c>
      <c r="O23" s="78">
        <v>4406.451</v>
      </c>
      <c r="Q23" s="64"/>
    </row>
    <row r="24" spans="3:17" ht="15.75" thickBot="1">
      <c r="C24" s="2"/>
      <c r="D24" s="174" t="s">
        <v>2633</v>
      </c>
      <c r="E24" s="175">
        <v>75</v>
      </c>
      <c r="F24" s="176">
        <v>100</v>
      </c>
      <c r="G24" s="175">
        <v>380</v>
      </c>
      <c r="H24" s="176">
        <v>50</v>
      </c>
      <c r="I24" s="177">
        <v>134</v>
      </c>
      <c r="J24" s="178">
        <v>94</v>
      </c>
      <c r="K24" s="179">
        <v>2900</v>
      </c>
      <c r="L24" s="180" t="s">
        <v>2617</v>
      </c>
      <c r="M24" s="181">
        <v>575</v>
      </c>
      <c r="N24" s="182">
        <v>0.438</v>
      </c>
      <c r="O24" s="78">
        <v>5725.9230000000007</v>
      </c>
      <c r="Q24" s="64"/>
    </row>
    <row r="25" spans="3:17" ht="15.75" thickBot="1">
      <c r="C25" s="2"/>
      <c r="D25" s="174" t="s">
        <v>2634</v>
      </c>
      <c r="E25" s="175">
        <v>90</v>
      </c>
      <c r="F25" s="176">
        <v>125</v>
      </c>
      <c r="G25" s="175">
        <v>380</v>
      </c>
      <c r="H25" s="176">
        <v>50</v>
      </c>
      <c r="I25" s="177">
        <v>160</v>
      </c>
      <c r="J25" s="178">
        <v>94</v>
      </c>
      <c r="K25" s="179">
        <v>2900</v>
      </c>
      <c r="L25" s="180" t="s">
        <v>2617</v>
      </c>
      <c r="M25" s="181">
        <v>601</v>
      </c>
      <c r="N25" s="182">
        <v>0.46</v>
      </c>
      <c r="O25" s="78">
        <v>6472.41</v>
      </c>
      <c r="Q25" s="64"/>
    </row>
    <row r="26" spans="3:17" ht="15.75" thickBot="1">
      <c r="C26" s="2"/>
      <c r="D26" s="174" t="s">
        <v>2635</v>
      </c>
      <c r="E26" s="175">
        <v>110</v>
      </c>
      <c r="F26" s="176">
        <v>150</v>
      </c>
      <c r="G26" s="175">
        <v>380</v>
      </c>
      <c r="H26" s="176">
        <v>50</v>
      </c>
      <c r="I26" s="177">
        <v>195</v>
      </c>
      <c r="J26" s="178">
        <v>94</v>
      </c>
      <c r="K26" s="179">
        <v>2900</v>
      </c>
      <c r="L26" s="180" t="s">
        <v>2617</v>
      </c>
      <c r="M26" s="181">
        <v>949</v>
      </c>
      <c r="N26" s="182">
        <v>0.749</v>
      </c>
      <c r="O26" s="78">
        <v>12646.725</v>
      </c>
      <c r="Q26" s="64"/>
    </row>
    <row r="27" spans="3:17" ht="15.75" thickBot="1">
      <c r="C27" s="2"/>
      <c r="D27" s="174" t="s">
        <v>2636</v>
      </c>
      <c r="E27" s="175">
        <v>132</v>
      </c>
      <c r="F27" s="176">
        <v>180</v>
      </c>
      <c r="G27" s="175">
        <v>380</v>
      </c>
      <c r="H27" s="176">
        <v>50</v>
      </c>
      <c r="I27" s="177">
        <v>234</v>
      </c>
      <c r="J27" s="178">
        <v>95</v>
      </c>
      <c r="K27" s="179">
        <v>2900</v>
      </c>
      <c r="L27" s="180" t="s">
        <v>2617</v>
      </c>
      <c r="M27" s="181">
        <v>1089</v>
      </c>
      <c r="N27" s="182">
        <v>0.85499999999999998</v>
      </c>
      <c r="O27" s="78">
        <v>12895.553999999998</v>
      </c>
      <c r="Q27" s="64"/>
    </row>
    <row r="28" spans="3:17" ht="15.75" thickBot="1">
      <c r="C28" s="2"/>
      <c r="D28" s="174" t="s">
        <v>2637</v>
      </c>
      <c r="E28" s="175">
        <v>160</v>
      </c>
      <c r="F28" s="176">
        <v>220</v>
      </c>
      <c r="G28" s="175">
        <v>380</v>
      </c>
      <c r="H28" s="176">
        <v>50</v>
      </c>
      <c r="I28" s="177">
        <v>279</v>
      </c>
      <c r="J28" s="178">
        <v>95</v>
      </c>
      <c r="K28" s="179">
        <v>2900</v>
      </c>
      <c r="L28" s="180" t="s">
        <v>2617</v>
      </c>
      <c r="M28" s="181">
        <v>1127</v>
      </c>
      <c r="N28" s="182">
        <v>0.85499999999999998</v>
      </c>
      <c r="O28" s="78">
        <v>13642.397999999999</v>
      </c>
      <c r="Q28" s="64"/>
    </row>
    <row r="29" spans="3:17" ht="15.75" thickBot="1">
      <c r="C29" s="2"/>
      <c r="D29" s="174" t="s">
        <v>2638</v>
      </c>
      <c r="E29" s="175">
        <v>200</v>
      </c>
      <c r="F29" s="176">
        <v>270</v>
      </c>
      <c r="G29" s="175">
        <v>380</v>
      </c>
      <c r="H29" s="176">
        <v>50</v>
      </c>
      <c r="I29" s="177">
        <v>349</v>
      </c>
      <c r="J29" s="178">
        <v>95</v>
      </c>
      <c r="K29" s="179">
        <v>2900</v>
      </c>
      <c r="L29" s="180" t="s">
        <v>2617</v>
      </c>
      <c r="M29" s="181">
        <v>1254</v>
      </c>
      <c r="N29" s="182">
        <v>0.85499999999999998</v>
      </c>
      <c r="O29" s="78">
        <v>14788.011000000002</v>
      </c>
      <c r="Q29" s="64"/>
    </row>
    <row r="30" spans="3:17" ht="15.75" thickBot="1">
      <c r="C30" s="2"/>
      <c r="D30" s="174" t="s">
        <v>2639</v>
      </c>
      <c r="E30" s="175">
        <v>250</v>
      </c>
      <c r="F30" s="176">
        <v>340</v>
      </c>
      <c r="G30" s="175">
        <v>380</v>
      </c>
      <c r="H30" s="176">
        <v>50</v>
      </c>
      <c r="I30" s="177">
        <v>436</v>
      </c>
      <c r="J30" s="178">
        <v>103</v>
      </c>
      <c r="K30" s="179">
        <v>2900</v>
      </c>
      <c r="L30" s="180" t="s">
        <v>2617</v>
      </c>
      <c r="M30" s="181">
        <v>1772</v>
      </c>
      <c r="N30" s="182">
        <v>1.244</v>
      </c>
      <c r="O30" s="78">
        <v>24118.205999999998</v>
      </c>
      <c r="Q30" s="64"/>
    </row>
    <row r="31" spans="3:17" ht="15.75" thickBot="1">
      <c r="C31" s="2"/>
      <c r="D31" s="174" t="s">
        <v>2640</v>
      </c>
      <c r="E31" s="175">
        <v>315</v>
      </c>
      <c r="F31" s="176">
        <v>430</v>
      </c>
      <c r="G31" s="175">
        <v>380</v>
      </c>
      <c r="H31" s="176">
        <v>50</v>
      </c>
      <c r="I31" s="177">
        <v>549</v>
      </c>
      <c r="J31" s="178">
        <v>103</v>
      </c>
      <c r="K31" s="179">
        <v>2900</v>
      </c>
      <c r="L31" s="180" t="s">
        <v>2617</v>
      </c>
      <c r="M31" s="181">
        <v>1821</v>
      </c>
      <c r="N31" s="182">
        <v>1.244</v>
      </c>
      <c r="O31" s="78">
        <v>28051.989000000001</v>
      </c>
      <c r="Q31" s="64"/>
    </row>
    <row r="32" spans="3:17" ht="15.75" thickBot="1">
      <c r="C32" s="2"/>
      <c r="D32" s="165" t="s">
        <v>2641</v>
      </c>
      <c r="E32" s="166">
        <v>0.55000000000000004</v>
      </c>
      <c r="F32" s="167">
        <v>0.75</v>
      </c>
      <c r="G32" s="166">
        <v>380</v>
      </c>
      <c r="H32" s="167">
        <v>50</v>
      </c>
      <c r="I32" s="168">
        <v>1.38</v>
      </c>
      <c r="J32" s="169">
        <v>63</v>
      </c>
      <c r="K32" s="170">
        <v>1450</v>
      </c>
      <c r="L32" s="171" t="s">
        <v>2617</v>
      </c>
      <c r="M32" s="172">
        <v>19</v>
      </c>
      <c r="N32" s="173">
        <v>1.6E-2</v>
      </c>
      <c r="O32" s="78">
        <v>197.06400000000002</v>
      </c>
      <c r="Q32" s="64"/>
    </row>
    <row r="33" spans="3:17" ht="15.75" thickBot="1">
      <c r="C33" s="2"/>
      <c r="D33" s="165" t="s">
        <v>2642</v>
      </c>
      <c r="E33" s="166">
        <v>0.75</v>
      </c>
      <c r="F33" s="167">
        <v>1</v>
      </c>
      <c r="G33" s="166">
        <v>380</v>
      </c>
      <c r="H33" s="167">
        <v>50</v>
      </c>
      <c r="I33" s="168">
        <v>1.84</v>
      </c>
      <c r="J33" s="169">
        <v>63</v>
      </c>
      <c r="K33" s="170">
        <v>1450</v>
      </c>
      <c r="L33" s="171" t="s">
        <v>2617</v>
      </c>
      <c r="M33" s="172">
        <v>20</v>
      </c>
      <c r="N33" s="173">
        <v>1.6E-2</v>
      </c>
      <c r="O33" s="78">
        <v>209.202</v>
      </c>
      <c r="Q33" s="64"/>
    </row>
    <row r="34" spans="3:17" ht="15.75" thickBot="1">
      <c r="C34" s="2"/>
      <c r="D34" s="165" t="s">
        <v>2643</v>
      </c>
      <c r="E34" s="166">
        <v>1.1000000000000001</v>
      </c>
      <c r="F34" s="167">
        <v>1.5</v>
      </c>
      <c r="G34" s="166">
        <v>380</v>
      </c>
      <c r="H34" s="167">
        <v>50</v>
      </c>
      <c r="I34" s="168">
        <v>2.61</v>
      </c>
      <c r="J34" s="169">
        <v>66</v>
      </c>
      <c r="K34" s="170">
        <v>1450</v>
      </c>
      <c r="L34" s="171" t="s">
        <v>2617</v>
      </c>
      <c r="M34" s="172">
        <v>25</v>
      </c>
      <c r="N34" s="173">
        <v>0.02</v>
      </c>
      <c r="O34" s="78">
        <v>266.32199999999995</v>
      </c>
      <c r="Q34" s="64"/>
    </row>
    <row r="35" spans="3:17" ht="15.75" thickBot="1">
      <c r="C35" s="2"/>
      <c r="D35" s="165" t="s">
        <v>2644</v>
      </c>
      <c r="E35" s="166">
        <v>1.5</v>
      </c>
      <c r="F35" s="167">
        <v>2</v>
      </c>
      <c r="G35" s="166">
        <v>380</v>
      </c>
      <c r="H35" s="167">
        <v>50</v>
      </c>
      <c r="I35" s="168">
        <v>3.47</v>
      </c>
      <c r="J35" s="169">
        <v>66</v>
      </c>
      <c r="K35" s="170">
        <v>1450</v>
      </c>
      <c r="L35" s="171" t="s">
        <v>2617</v>
      </c>
      <c r="M35" s="172">
        <v>31</v>
      </c>
      <c r="N35" s="173">
        <v>2.1000000000000001E-2</v>
      </c>
      <c r="O35" s="78">
        <v>298.80899999999997</v>
      </c>
      <c r="Q35" s="64"/>
    </row>
    <row r="36" spans="3:17" ht="15.75" thickBot="1">
      <c r="C36" s="2"/>
      <c r="D36" s="165" t="s">
        <v>2645</v>
      </c>
      <c r="E36" s="166">
        <v>2.2000000000000002</v>
      </c>
      <c r="F36" s="167">
        <v>3</v>
      </c>
      <c r="G36" s="166">
        <v>380</v>
      </c>
      <c r="H36" s="167">
        <v>50</v>
      </c>
      <c r="I36" s="168">
        <v>4.76</v>
      </c>
      <c r="J36" s="169">
        <v>68</v>
      </c>
      <c r="K36" s="170">
        <v>1450</v>
      </c>
      <c r="L36" s="171" t="s">
        <v>2617</v>
      </c>
      <c r="M36" s="172">
        <v>44</v>
      </c>
      <c r="N36" s="173">
        <v>2.9000000000000001E-2</v>
      </c>
      <c r="O36" s="78">
        <v>396.62699999999995</v>
      </c>
      <c r="Q36" s="64"/>
    </row>
    <row r="37" spans="3:17" ht="15.75" thickBot="1">
      <c r="C37" s="2"/>
      <c r="D37" s="165" t="s">
        <v>2646</v>
      </c>
      <c r="E37" s="166">
        <v>3</v>
      </c>
      <c r="F37" s="167">
        <v>4</v>
      </c>
      <c r="G37" s="166">
        <v>380</v>
      </c>
      <c r="H37" s="167">
        <v>50</v>
      </c>
      <c r="I37" s="168">
        <v>6.34</v>
      </c>
      <c r="J37" s="169">
        <v>68</v>
      </c>
      <c r="K37" s="170">
        <v>1450</v>
      </c>
      <c r="L37" s="171" t="s">
        <v>2617</v>
      </c>
      <c r="M37" s="172">
        <v>48</v>
      </c>
      <c r="N37" s="173">
        <v>2.9000000000000001E-2</v>
      </c>
      <c r="O37" s="78">
        <v>473.73899999999992</v>
      </c>
      <c r="Q37" s="64"/>
    </row>
    <row r="38" spans="3:17" ht="15.75" thickBot="1">
      <c r="C38" s="2"/>
      <c r="D38" s="165" t="s">
        <v>2647</v>
      </c>
      <c r="E38" s="166">
        <v>4</v>
      </c>
      <c r="F38" s="167">
        <v>5.5</v>
      </c>
      <c r="G38" s="166">
        <v>380</v>
      </c>
      <c r="H38" s="167">
        <v>50</v>
      </c>
      <c r="I38" s="168">
        <v>8.3699999999999992</v>
      </c>
      <c r="J38" s="169">
        <v>72</v>
      </c>
      <c r="K38" s="170">
        <v>1450</v>
      </c>
      <c r="L38" s="171" t="s">
        <v>2617</v>
      </c>
      <c r="M38" s="172">
        <v>66</v>
      </c>
      <c r="N38" s="173">
        <v>3.6999999999999998E-2</v>
      </c>
      <c r="O38" s="78">
        <v>553.70699999999999</v>
      </c>
      <c r="Q38" s="64"/>
    </row>
    <row r="39" spans="3:17" ht="15.75" thickBot="1">
      <c r="C39" s="2"/>
      <c r="D39" s="165" t="s">
        <v>2648</v>
      </c>
      <c r="E39" s="166">
        <v>5.5</v>
      </c>
      <c r="F39" s="167">
        <v>7.5</v>
      </c>
      <c r="G39" s="166">
        <v>380</v>
      </c>
      <c r="H39" s="167">
        <v>50</v>
      </c>
      <c r="I39" s="168">
        <v>11.2</v>
      </c>
      <c r="J39" s="169">
        <v>74</v>
      </c>
      <c r="K39" s="170">
        <v>1450</v>
      </c>
      <c r="L39" s="171" t="s">
        <v>2617</v>
      </c>
      <c r="M39" s="172">
        <v>75</v>
      </c>
      <c r="N39" s="173">
        <v>5.2999999999999999E-2</v>
      </c>
      <c r="O39" s="78">
        <v>714.71399999999994</v>
      </c>
      <c r="Q39" s="64"/>
    </row>
    <row r="40" spans="3:17" ht="15.75" thickBot="1">
      <c r="C40" s="2"/>
      <c r="D40" s="165" t="s">
        <v>2649</v>
      </c>
      <c r="E40" s="166">
        <v>7.5</v>
      </c>
      <c r="F40" s="167">
        <v>10</v>
      </c>
      <c r="G40" s="166">
        <v>380</v>
      </c>
      <c r="H40" s="167">
        <v>50</v>
      </c>
      <c r="I40" s="168">
        <v>15</v>
      </c>
      <c r="J40" s="169">
        <v>77</v>
      </c>
      <c r="K40" s="170">
        <v>1450</v>
      </c>
      <c r="L40" s="171" t="s">
        <v>2617</v>
      </c>
      <c r="M40" s="172">
        <v>89</v>
      </c>
      <c r="N40" s="173">
        <v>5.2999999999999999E-2</v>
      </c>
      <c r="O40" s="78">
        <v>867.51</v>
      </c>
      <c r="Q40" s="64"/>
    </row>
    <row r="41" spans="3:17" ht="15.75" thickBot="1">
      <c r="C41" s="2"/>
      <c r="D41" s="165" t="s">
        <v>2650</v>
      </c>
      <c r="E41" s="166">
        <v>11</v>
      </c>
      <c r="F41" s="167">
        <v>15</v>
      </c>
      <c r="G41" s="166">
        <v>380</v>
      </c>
      <c r="H41" s="167">
        <v>50</v>
      </c>
      <c r="I41" s="168">
        <v>21.5</v>
      </c>
      <c r="J41" s="169">
        <v>78</v>
      </c>
      <c r="K41" s="170">
        <v>1450</v>
      </c>
      <c r="L41" s="171" t="s">
        <v>2617</v>
      </c>
      <c r="M41" s="172">
        <v>129</v>
      </c>
      <c r="N41" s="173">
        <v>0.109</v>
      </c>
      <c r="O41" s="78">
        <v>1305.549</v>
      </c>
      <c r="Q41" s="64"/>
    </row>
    <row r="42" spans="3:17" ht="15.75" thickBot="1">
      <c r="C42" s="2"/>
      <c r="D42" s="165" t="s">
        <v>2651</v>
      </c>
      <c r="E42" s="166">
        <v>15</v>
      </c>
      <c r="F42" s="167">
        <v>20</v>
      </c>
      <c r="G42" s="166">
        <v>380</v>
      </c>
      <c r="H42" s="167">
        <v>50</v>
      </c>
      <c r="I42" s="168">
        <v>28.8</v>
      </c>
      <c r="J42" s="169">
        <v>82</v>
      </c>
      <c r="K42" s="170">
        <v>1450</v>
      </c>
      <c r="L42" s="171" t="s">
        <v>2617</v>
      </c>
      <c r="M42" s="172">
        <v>150</v>
      </c>
      <c r="N42" s="173">
        <v>0.11700000000000001</v>
      </c>
      <c r="O42" s="78">
        <v>1516.5360000000001</v>
      </c>
      <c r="Q42" s="64"/>
    </row>
    <row r="43" spans="3:17" ht="15.75" thickBot="1">
      <c r="C43" s="2"/>
      <c r="D43" s="165" t="s">
        <v>2652</v>
      </c>
      <c r="E43" s="166">
        <v>18.5</v>
      </c>
      <c r="F43" s="167">
        <v>25</v>
      </c>
      <c r="G43" s="166">
        <v>380</v>
      </c>
      <c r="H43" s="167">
        <v>50</v>
      </c>
      <c r="I43" s="168">
        <v>35.299999999999997</v>
      </c>
      <c r="J43" s="169">
        <v>82</v>
      </c>
      <c r="K43" s="170">
        <v>1450</v>
      </c>
      <c r="L43" s="171" t="s">
        <v>2617</v>
      </c>
      <c r="M43" s="172">
        <v>191</v>
      </c>
      <c r="N43" s="173">
        <v>0.14599999999999999</v>
      </c>
      <c r="O43" s="78">
        <v>1792.854</v>
      </c>
      <c r="Q43" s="64"/>
    </row>
    <row r="44" spans="3:17" ht="15.75" thickBot="1">
      <c r="C44" s="2"/>
      <c r="D44" s="165" t="s">
        <v>2653</v>
      </c>
      <c r="E44" s="166">
        <v>22</v>
      </c>
      <c r="F44" s="167">
        <v>30</v>
      </c>
      <c r="G44" s="166">
        <v>380</v>
      </c>
      <c r="H44" s="167">
        <v>50</v>
      </c>
      <c r="I44" s="168">
        <v>41.8</v>
      </c>
      <c r="J44" s="169">
        <v>82</v>
      </c>
      <c r="K44" s="170">
        <v>1450</v>
      </c>
      <c r="L44" s="171" t="s">
        <v>2617</v>
      </c>
      <c r="M44" s="172">
        <v>219</v>
      </c>
      <c r="N44" s="173">
        <v>0.14599999999999999</v>
      </c>
      <c r="O44" s="78">
        <v>1923.1590000000003</v>
      </c>
      <c r="Q44" s="64"/>
    </row>
    <row r="45" spans="3:17" ht="15.75" thickBot="1">
      <c r="C45" s="2"/>
      <c r="D45" s="165" t="s">
        <v>2654</v>
      </c>
      <c r="E45" s="166">
        <v>30</v>
      </c>
      <c r="F45" s="167">
        <v>40</v>
      </c>
      <c r="G45" s="166">
        <v>380</v>
      </c>
      <c r="H45" s="167">
        <v>50</v>
      </c>
      <c r="I45" s="168">
        <v>56.6</v>
      </c>
      <c r="J45" s="169">
        <v>84</v>
      </c>
      <c r="K45" s="170">
        <v>1450</v>
      </c>
      <c r="L45" s="171" t="s">
        <v>2617</v>
      </c>
      <c r="M45" s="172">
        <v>298</v>
      </c>
      <c r="N45" s="173">
        <v>0.19900000000000001</v>
      </c>
      <c r="O45" s="78">
        <v>2460.8009999999999</v>
      </c>
      <c r="Q45" s="64"/>
    </row>
    <row r="46" spans="3:17" ht="15.75" thickBot="1">
      <c r="C46" s="2"/>
      <c r="D46" s="165" t="s">
        <v>2655</v>
      </c>
      <c r="E46" s="166">
        <v>37</v>
      </c>
      <c r="F46" s="167">
        <v>50</v>
      </c>
      <c r="G46" s="166">
        <v>380</v>
      </c>
      <c r="H46" s="167">
        <v>50</v>
      </c>
      <c r="I46" s="168">
        <v>69.599999999999994</v>
      </c>
      <c r="J46" s="169">
        <v>85</v>
      </c>
      <c r="K46" s="170">
        <v>1450</v>
      </c>
      <c r="L46" s="171" t="s">
        <v>2617</v>
      </c>
      <c r="M46" s="172">
        <v>345</v>
      </c>
      <c r="N46" s="173">
        <v>0.249</v>
      </c>
      <c r="O46" s="78">
        <v>3158.7359999999999</v>
      </c>
      <c r="Q46" s="64"/>
    </row>
    <row r="47" spans="3:17" ht="15.75" thickBot="1">
      <c r="C47" s="2"/>
      <c r="D47" s="165" t="s">
        <v>2656</v>
      </c>
      <c r="E47" s="166">
        <v>45</v>
      </c>
      <c r="F47" s="167">
        <v>60</v>
      </c>
      <c r="G47" s="166">
        <v>380</v>
      </c>
      <c r="H47" s="167">
        <v>50</v>
      </c>
      <c r="I47" s="168">
        <v>84.4</v>
      </c>
      <c r="J47" s="169">
        <v>86</v>
      </c>
      <c r="K47" s="170">
        <v>1450</v>
      </c>
      <c r="L47" s="171" t="s">
        <v>2617</v>
      </c>
      <c r="M47" s="172">
        <v>380</v>
      </c>
      <c r="N47" s="173">
        <v>0.249</v>
      </c>
      <c r="O47" s="78">
        <v>3486.462</v>
      </c>
      <c r="Q47" s="64"/>
    </row>
    <row r="48" spans="3:17" ht="15.75" thickBot="1">
      <c r="C48" s="2"/>
      <c r="D48" s="165" t="s">
        <v>2657</v>
      </c>
      <c r="E48" s="166">
        <v>55</v>
      </c>
      <c r="F48" s="167">
        <v>75</v>
      </c>
      <c r="G48" s="166">
        <v>380</v>
      </c>
      <c r="H48" s="167">
        <v>50</v>
      </c>
      <c r="I48" s="168">
        <v>103</v>
      </c>
      <c r="J48" s="169">
        <v>86</v>
      </c>
      <c r="K48" s="170">
        <v>1450</v>
      </c>
      <c r="L48" s="171" t="s">
        <v>2617</v>
      </c>
      <c r="M48" s="172">
        <v>466</v>
      </c>
      <c r="N48" s="173">
        <v>0.33700000000000002</v>
      </c>
      <c r="O48" s="78">
        <v>4346.1180000000004</v>
      </c>
      <c r="Q48" s="64"/>
    </row>
    <row r="49" spans="3:17" ht="15.75" thickBot="1">
      <c r="C49" s="2"/>
      <c r="D49" s="165" t="s">
        <v>2658</v>
      </c>
      <c r="E49" s="166">
        <v>75</v>
      </c>
      <c r="F49" s="167">
        <v>100</v>
      </c>
      <c r="G49" s="166">
        <v>380</v>
      </c>
      <c r="H49" s="167">
        <v>50</v>
      </c>
      <c r="I49" s="168">
        <v>136</v>
      </c>
      <c r="J49" s="169">
        <v>89</v>
      </c>
      <c r="K49" s="170">
        <v>1450</v>
      </c>
      <c r="L49" s="171" t="s">
        <v>2617</v>
      </c>
      <c r="M49" s="172">
        <v>600</v>
      </c>
      <c r="N49" s="173">
        <v>0.438</v>
      </c>
      <c r="O49" s="78">
        <v>5944.05</v>
      </c>
      <c r="Q49" s="64"/>
    </row>
    <row r="50" spans="3:17" ht="15.75" thickBot="1">
      <c r="C50" s="2"/>
      <c r="D50" s="165" t="s">
        <v>2659</v>
      </c>
      <c r="E50" s="166">
        <v>90</v>
      </c>
      <c r="F50" s="167">
        <v>125</v>
      </c>
      <c r="G50" s="166">
        <v>380</v>
      </c>
      <c r="H50" s="167">
        <v>50</v>
      </c>
      <c r="I50" s="168">
        <v>163</v>
      </c>
      <c r="J50" s="169">
        <v>89</v>
      </c>
      <c r="K50" s="170">
        <v>1450</v>
      </c>
      <c r="L50" s="171" t="s">
        <v>2617</v>
      </c>
      <c r="M50" s="172">
        <v>671</v>
      </c>
      <c r="N50" s="173">
        <v>0.46</v>
      </c>
      <c r="O50" s="78">
        <v>6770.8619999999992</v>
      </c>
      <c r="Q50" s="64"/>
    </row>
    <row r="51" spans="3:17" ht="15.75" thickBot="1">
      <c r="C51" s="2"/>
      <c r="D51" s="165" t="s">
        <v>2660</v>
      </c>
      <c r="E51" s="166">
        <v>110</v>
      </c>
      <c r="F51" s="167">
        <v>150</v>
      </c>
      <c r="G51" s="166">
        <v>380</v>
      </c>
      <c r="H51" s="167">
        <v>50</v>
      </c>
      <c r="I51" s="168">
        <v>197</v>
      </c>
      <c r="J51" s="169">
        <v>89</v>
      </c>
      <c r="K51" s="170">
        <v>1450</v>
      </c>
      <c r="L51" s="171" t="s">
        <v>2617</v>
      </c>
      <c r="M51" s="172">
        <v>991</v>
      </c>
      <c r="N51" s="173">
        <v>0.749</v>
      </c>
      <c r="O51" s="78">
        <v>11778.858</v>
      </c>
      <c r="Q51" s="64"/>
    </row>
    <row r="52" spans="3:17" ht="15.75" thickBot="1">
      <c r="C52" s="2"/>
      <c r="D52" s="165" t="s">
        <v>2661</v>
      </c>
      <c r="E52" s="166">
        <v>132</v>
      </c>
      <c r="F52" s="167">
        <v>180</v>
      </c>
      <c r="G52" s="166">
        <v>380</v>
      </c>
      <c r="H52" s="167">
        <v>50</v>
      </c>
      <c r="I52" s="168">
        <v>236</v>
      </c>
      <c r="J52" s="169">
        <v>92</v>
      </c>
      <c r="K52" s="170">
        <v>1450</v>
      </c>
      <c r="L52" s="171" t="s">
        <v>2617</v>
      </c>
      <c r="M52" s="172">
        <v>1093</v>
      </c>
      <c r="N52" s="173">
        <v>0.85499999999999998</v>
      </c>
      <c r="O52" s="78">
        <v>13265.406000000001</v>
      </c>
      <c r="Q52" s="64"/>
    </row>
    <row r="53" spans="3:17" ht="15.75" thickBot="1">
      <c r="C53" s="2"/>
      <c r="D53" s="165" t="s">
        <v>2662</v>
      </c>
      <c r="E53" s="166">
        <v>160</v>
      </c>
      <c r="F53" s="167">
        <v>220</v>
      </c>
      <c r="G53" s="166">
        <v>380</v>
      </c>
      <c r="H53" s="167">
        <v>50</v>
      </c>
      <c r="I53" s="168">
        <v>285</v>
      </c>
      <c r="J53" s="169">
        <v>92</v>
      </c>
      <c r="K53" s="170">
        <v>1450</v>
      </c>
      <c r="L53" s="171" t="s">
        <v>2617</v>
      </c>
      <c r="M53" s="172">
        <v>1186</v>
      </c>
      <c r="N53" s="173">
        <v>0.85499999999999998</v>
      </c>
      <c r="O53" s="78">
        <v>14301.063</v>
      </c>
      <c r="Q53" s="64"/>
    </row>
    <row r="54" spans="3:17" ht="15.75" thickBot="1">
      <c r="C54" s="2"/>
      <c r="D54" s="165" t="s">
        <v>2663</v>
      </c>
      <c r="E54" s="166">
        <v>200</v>
      </c>
      <c r="F54" s="167">
        <v>270</v>
      </c>
      <c r="G54" s="166">
        <v>380</v>
      </c>
      <c r="H54" s="167">
        <v>50</v>
      </c>
      <c r="I54" s="168">
        <v>352</v>
      </c>
      <c r="J54" s="169">
        <v>92</v>
      </c>
      <c r="K54" s="170">
        <v>1450</v>
      </c>
      <c r="L54" s="171" t="s">
        <v>2617</v>
      </c>
      <c r="M54" s="172">
        <v>1298</v>
      </c>
      <c r="N54" s="173">
        <v>0.85499999999999998</v>
      </c>
      <c r="O54" s="78">
        <v>15774.402000000002</v>
      </c>
      <c r="Q54" s="64"/>
    </row>
    <row r="55" spans="3:17" ht="15.75" thickBot="1">
      <c r="C55" s="2"/>
      <c r="D55" s="165" t="s">
        <v>2664</v>
      </c>
      <c r="E55" s="166">
        <v>250</v>
      </c>
      <c r="F55" s="167">
        <v>340</v>
      </c>
      <c r="G55" s="166">
        <v>380</v>
      </c>
      <c r="H55" s="167">
        <v>50</v>
      </c>
      <c r="I55" s="168">
        <v>440</v>
      </c>
      <c r="J55" s="169">
        <v>101</v>
      </c>
      <c r="K55" s="170">
        <v>1450</v>
      </c>
      <c r="L55" s="171" t="s">
        <v>2617</v>
      </c>
      <c r="M55" s="172">
        <v>1917</v>
      </c>
      <c r="N55" s="173">
        <v>1.244</v>
      </c>
      <c r="O55" s="78">
        <v>25066.397999999997</v>
      </c>
      <c r="Q55" s="64"/>
    </row>
    <row r="56" spans="3:17" ht="15.75" thickBot="1">
      <c r="C56" s="2"/>
      <c r="D56" s="165" t="s">
        <v>2665</v>
      </c>
      <c r="E56" s="166">
        <v>315</v>
      </c>
      <c r="F56" s="167">
        <v>430</v>
      </c>
      <c r="G56" s="166">
        <v>380</v>
      </c>
      <c r="H56" s="167">
        <v>50</v>
      </c>
      <c r="I56" s="168">
        <v>554</v>
      </c>
      <c r="J56" s="169">
        <v>101</v>
      </c>
      <c r="K56" s="170">
        <v>1450</v>
      </c>
      <c r="L56" s="171" t="s">
        <v>2617</v>
      </c>
      <c r="M56" s="172">
        <v>2037</v>
      </c>
      <c r="N56" s="173">
        <v>1.244</v>
      </c>
      <c r="O56" s="78">
        <v>29608.152000000002</v>
      </c>
      <c r="Q56" s="64"/>
    </row>
  </sheetData>
  <mergeCells count="3">
    <mergeCell ref="D5:D6"/>
    <mergeCell ref="E5:F6"/>
    <mergeCell ref="G5:H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29">
    <tabColor theme="7" tint="0.39997558519241921"/>
  </sheetPr>
  <dimension ref="A5:D13"/>
  <sheetViews>
    <sheetView workbookViewId="0"/>
  </sheetViews>
  <sheetFormatPr defaultRowHeight="14.25"/>
  <cols>
    <col min="1" max="1" width="34.375" customWidth="1"/>
    <col min="2" max="2" width="36.875" customWidth="1"/>
    <col min="3" max="3" width="44.125" customWidth="1"/>
    <col min="4" max="4" width="40.5" customWidth="1"/>
  </cols>
  <sheetData>
    <row r="5" spans="1:4" ht="75" customHeight="1">
      <c r="A5" s="270"/>
      <c r="B5" s="90" t="s">
        <v>1266</v>
      </c>
      <c r="C5" s="91" t="s">
        <v>1267</v>
      </c>
      <c r="D5" s="91" t="s">
        <v>1371</v>
      </c>
    </row>
    <row r="6" spans="1:4" ht="51" customHeight="1">
      <c r="A6" s="270"/>
      <c r="B6" s="89" t="s">
        <v>1379</v>
      </c>
      <c r="C6" s="89" t="s">
        <v>1380</v>
      </c>
      <c r="D6" s="89">
        <v>66.3</v>
      </c>
    </row>
    <row r="7" spans="1:4" ht="2.25" customHeight="1">
      <c r="A7" s="270"/>
    </row>
    <row r="8" spans="1:4" hidden="1">
      <c r="A8" s="270"/>
    </row>
    <row r="9" spans="1:4" hidden="1">
      <c r="A9" s="270"/>
    </row>
    <row r="10" spans="1:4" hidden="1">
      <c r="A10" s="270"/>
    </row>
    <row r="11" spans="1:4" hidden="1">
      <c r="A11" s="270"/>
    </row>
    <row r="12" spans="1:4" hidden="1">
      <c r="A12" s="270"/>
    </row>
    <row r="13" spans="1:4" hidden="1">
      <c r="A13" s="270"/>
    </row>
  </sheetData>
  <mergeCells count="1">
    <mergeCell ref="A5:A13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Лист30">
    <tabColor rgb="FFFFFF00"/>
  </sheetPr>
  <dimension ref="A3:O116"/>
  <sheetViews>
    <sheetView workbookViewId="0"/>
  </sheetViews>
  <sheetFormatPr defaultRowHeight="14.25"/>
  <cols>
    <col min="2" max="2" width="1.75" customWidth="1"/>
    <col min="3" max="3" width="9" hidden="1" customWidth="1"/>
    <col min="4" max="4" width="46.625" customWidth="1"/>
    <col min="5" max="5" width="35.125" customWidth="1"/>
    <col min="6" max="6" width="36.75" customWidth="1"/>
    <col min="7" max="7" width="26.75" customWidth="1"/>
  </cols>
  <sheetData>
    <row r="3" spans="1:15" ht="15.75">
      <c r="D3" s="341" t="s">
        <v>3213</v>
      </c>
      <c r="E3" s="341"/>
      <c r="F3" s="341"/>
    </row>
    <row r="4" spans="1:15" ht="45">
      <c r="A4" s="339"/>
      <c r="B4" s="339"/>
      <c r="C4" s="339"/>
      <c r="D4" s="90" t="s">
        <v>1266</v>
      </c>
      <c r="E4" s="91" t="s">
        <v>1267</v>
      </c>
      <c r="F4" s="91" t="s">
        <v>1270</v>
      </c>
      <c r="G4" s="69"/>
      <c r="H4" s="69"/>
      <c r="I4" s="69"/>
      <c r="J4" s="65"/>
      <c r="K4" s="69"/>
      <c r="L4" s="66"/>
      <c r="M4" s="66"/>
      <c r="N4" s="69"/>
      <c r="O4" s="69"/>
    </row>
    <row r="5" spans="1:15" ht="101.25" customHeight="1">
      <c r="A5" s="339"/>
      <c r="B5" s="339"/>
      <c r="C5" s="339"/>
      <c r="D5" s="89" t="s">
        <v>1268</v>
      </c>
      <c r="E5" s="89" t="s">
        <v>1269</v>
      </c>
      <c r="F5" s="89" t="s">
        <v>1271</v>
      </c>
      <c r="G5" s="88"/>
      <c r="H5" s="88"/>
      <c r="I5" s="88"/>
      <c r="J5" s="88"/>
    </row>
    <row r="6" spans="1:15" ht="30">
      <c r="A6" s="339"/>
      <c r="B6" s="339"/>
      <c r="C6" s="339"/>
      <c r="D6" s="89" t="s">
        <v>1272</v>
      </c>
      <c r="E6" s="89" t="s">
        <v>1269</v>
      </c>
      <c r="F6" s="89" t="s">
        <v>1271</v>
      </c>
      <c r="G6" s="88"/>
      <c r="H6" s="88"/>
      <c r="I6" s="88"/>
      <c r="J6" s="88"/>
    </row>
    <row r="7" spans="1:15" ht="49.5" customHeight="1">
      <c r="A7" s="339"/>
      <c r="B7" s="339"/>
      <c r="C7" s="339"/>
      <c r="D7" s="342" t="s">
        <v>3215</v>
      </c>
      <c r="E7" s="343"/>
      <c r="F7" s="108" t="s">
        <v>3214</v>
      </c>
      <c r="G7" s="88"/>
      <c r="H7" s="88"/>
      <c r="I7" s="88"/>
      <c r="J7" s="88"/>
    </row>
    <row r="8" spans="1:15" ht="20.100000000000001" customHeight="1">
      <c r="A8" s="339"/>
      <c r="B8" s="339"/>
      <c r="C8" s="339"/>
      <c r="D8" s="340" t="s">
        <v>3216</v>
      </c>
      <c r="E8" s="89" t="s">
        <v>2695</v>
      </c>
      <c r="F8" s="89" t="s">
        <v>2973</v>
      </c>
      <c r="G8" s="88"/>
      <c r="H8" s="88"/>
      <c r="I8" s="88"/>
      <c r="J8" s="88"/>
    </row>
    <row r="9" spans="1:15" ht="20.100000000000001" customHeight="1">
      <c r="A9" s="339"/>
      <c r="B9" s="339"/>
      <c r="C9" s="339"/>
      <c r="D9" s="324"/>
      <c r="E9" s="89" t="s">
        <v>2696</v>
      </c>
      <c r="F9" s="89" t="s">
        <v>2974</v>
      </c>
      <c r="G9" s="88"/>
      <c r="H9" s="88"/>
      <c r="I9" s="88"/>
      <c r="J9" s="88"/>
    </row>
    <row r="10" spans="1:15" ht="20.100000000000001" customHeight="1">
      <c r="A10" s="339"/>
      <c r="B10" s="339"/>
      <c r="C10" s="339"/>
      <c r="D10" s="325"/>
      <c r="E10" s="89" t="s">
        <v>2697</v>
      </c>
      <c r="F10" s="89" t="s">
        <v>2975</v>
      </c>
      <c r="G10" s="88"/>
      <c r="H10" s="88"/>
      <c r="I10" s="88"/>
      <c r="J10" s="88"/>
    </row>
    <row r="11" spans="1:15" ht="45">
      <c r="A11" s="339"/>
      <c r="B11" s="339"/>
      <c r="C11" s="339"/>
      <c r="D11" s="89" t="s">
        <v>2947</v>
      </c>
      <c r="E11" s="89" t="s">
        <v>2949</v>
      </c>
      <c r="F11" s="89" t="s">
        <v>2976</v>
      </c>
      <c r="G11" s="88"/>
      <c r="H11" s="88"/>
      <c r="I11" s="88"/>
      <c r="J11" s="88"/>
    </row>
    <row r="12" spans="1:15" ht="60">
      <c r="A12" s="339"/>
      <c r="B12" s="339"/>
      <c r="C12" s="339"/>
      <c r="D12" s="89" t="s">
        <v>2948</v>
      </c>
      <c r="E12" s="89" t="s">
        <v>2950</v>
      </c>
      <c r="F12" s="89" t="s">
        <v>2977</v>
      </c>
      <c r="G12" s="88"/>
      <c r="H12" s="88"/>
      <c r="I12" s="88"/>
      <c r="J12" s="88"/>
    </row>
    <row r="13" spans="1:15" ht="15">
      <c r="A13" s="339"/>
      <c r="B13" s="339"/>
      <c r="C13" s="339"/>
      <c r="D13" s="344" t="s">
        <v>3229</v>
      </c>
      <c r="E13" s="345"/>
      <c r="F13" s="346"/>
      <c r="G13" s="88"/>
      <c r="H13" s="88"/>
      <c r="I13" s="88"/>
      <c r="J13" s="88"/>
    </row>
    <row r="14" spans="1:15" ht="15">
      <c r="A14" s="339"/>
      <c r="B14" s="339"/>
      <c r="C14" s="339"/>
      <c r="D14" s="250" t="s">
        <v>2667</v>
      </c>
      <c r="E14" s="251" t="s">
        <v>3227</v>
      </c>
      <c r="F14" s="252" t="s">
        <v>3228</v>
      </c>
      <c r="G14" s="88"/>
      <c r="H14" s="88"/>
      <c r="I14" s="88"/>
      <c r="J14" s="88"/>
    </row>
    <row r="15" spans="1:15" ht="15">
      <c r="A15" s="339"/>
      <c r="B15" s="339"/>
      <c r="C15" s="339"/>
      <c r="D15" s="89" t="s">
        <v>3218</v>
      </c>
      <c r="E15" s="89" t="s">
        <v>3217</v>
      </c>
      <c r="F15" s="89" t="s">
        <v>3219</v>
      </c>
      <c r="G15" s="88"/>
      <c r="H15" s="88"/>
      <c r="I15" s="88"/>
      <c r="J15" s="88"/>
    </row>
    <row r="16" spans="1:15" ht="15">
      <c r="A16" s="339"/>
      <c r="B16" s="339"/>
      <c r="C16" s="339"/>
      <c r="D16" s="89" t="s">
        <v>3220</v>
      </c>
      <c r="E16" s="89" t="s">
        <v>3217</v>
      </c>
      <c r="F16" s="89" t="s">
        <v>3221</v>
      </c>
      <c r="G16" s="88"/>
      <c r="H16" s="88"/>
      <c r="I16" s="88"/>
      <c r="J16" s="88"/>
    </row>
    <row r="17" spans="1:10" ht="15">
      <c r="A17" s="339"/>
      <c r="B17" s="339"/>
      <c r="C17" s="339"/>
      <c r="D17" s="89" t="s">
        <v>3222</v>
      </c>
      <c r="E17" s="89" t="s">
        <v>3217</v>
      </c>
      <c r="F17" s="89" t="s">
        <v>3223</v>
      </c>
      <c r="G17" s="88"/>
      <c r="H17" s="88"/>
      <c r="I17" s="88"/>
      <c r="J17" s="88"/>
    </row>
    <row r="18" spans="1:10" ht="15">
      <c r="A18" s="339"/>
      <c r="B18" s="339"/>
      <c r="C18" s="339"/>
      <c r="D18" s="89" t="s">
        <v>3225</v>
      </c>
      <c r="E18" s="89" t="s">
        <v>3217</v>
      </c>
      <c r="F18" s="89" t="s">
        <v>3226</v>
      </c>
      <c r="G18" s="88"/>
      <c r="H18" s="88"/>
      <c r="I18" s="88"/>
      <c r="J18" s="88"/>
    </row>
    <row r="19" spans="1:10" ht="15">
      <c r="A19" s="339"/>
      <c r="B19" s="339"/>
      <c r="C19" s="339"/>
      <c r="D19" s="89" t="s">
        <v>3230</v>
      </c>
      <c r="E19" s="89" t="s">
        <v>3242</v>
      </c>
      <c r="F19" s="89" t="s">
        <v>3231</v>
      </c>
      <c r="G19" s="88"/>
      <c r="H19" s="88"/>
      <c r="I19" s="88"/>
      <c r="J19" s="88"/>
    </row>
    <row r="20" spans="1:10" ht="15">
      <c r="A20" s="339"/>
      <c r="B20" s="339"/>
      <c r="C20" s="339"/>
      <c r="D20" s="89" t="s">
        <v>3232</v>
      </c>
      <c r="E20" s="89" t="s">
        <v>3242</v>
      </c>
      <c r="F20" s="89" t="s">
        <v>3234</v>
      </c>
      <c r="G20" s="88"/>
      <c r="H20" s="88"/>
      <c r="I20" s="88"/>
      <c r="J20" s="88"/>
    </row>
    <row r="21" spans="1:10" ht="15">
      <c r="A21" s="339"/>
      <c r="B21" s="339"/>
      <c r="C21" s="339"/>
      <c r="D21" s="89" t="s">
        <v>3233</v>
      </c>
      <c r="E21" s="89" t="s">
        <v>3217</v>
      </c>
      <c r="F21" s="89" t="s">
        <v>3235</v>
      </c>
      <c r="G21" s="88"/>
      <c r="H21" s="88"/>
      <c r="I21" s="88"/>
      <c r="J21" s="88"/>
    </row>
    <row r="22" spans="1:10" ht="15">
      <c r="A22" s="339"/>
      <c r="B22" s="339"/>
      <c r="C22" s="339"/>
      <c r="D22" s="89" t="s">
        <v>3236</v>
      </c>
      <c r="E22" s="89" t="s">
        <v>3217</v>
      </c>
      <c r="F22" s="89" t="s">
        <v>3239</v>
      </c>
      <c r="G22" s="88"/>
      <c r="H22" s="88"/>
      <c r="I22" s="88"/>
      <c r="J22" s="88"/>
    </row>
    <row r="23" spans="1:10" ht="15">
      <c r="A23" s="339"/>
      <c r="B23" s="339"/>
      <c r="C23" s="339"/>
      <c r="D23" s="89" t="s">
        <v>3237</v>
      </c>
      <c r="E23" s="89" t="s">
        <v>3242</v>
      </c>
      <c r="F23" s="89" t="s">
        <v>3240</v>
      </c>
      <c r="G23" s="88"/>
      <c r="H23" s="88"/>
      <c r="I23" s="88"/>
      <c r="J23" s="88"/>
    </row>
    <row r="24" spans="1:10" ht="15">
      <c r="A24" s="339"/>
      <c r="B24" s="339"/>
      <c r="C24" s="339"/>
      <c r="D24" s="89" t="s">
        <v>3238</v>
      </c>
      <c r="E24" s="89" t="s">
        <v>3242</v>
      </c>
      <c r="F24" s="89" t="s">
        <v>3241</v>
      </c>
      <c r="G24" s="88"/>
      <c r="H24" s="88"/>
      <c r="I24" s="88"/>
      <c r="J24" s="88"/>
    </row>
    <row r="25" spans="1:10" ht="15">
      <c r="A25" s="339"/>
      <c r="B25" s="339"/>
      <c r="C25" s="339"/>
      <c r="D25" s="89" t="s">
        <v>3243</v>
      </c>
      <c r="E25" s="89" t="s">
        <v>3224</v>
      </c>
      <c r="F25" s="89" t="s">
        <v>3239</v>
      </c>
      <c r="G25" s="88"/>
      <c r="H25" s="88"/>
      <c r="I25" s="88"/>
      <c r="J25" s="88"/>
    </row>
    <row r="26" spans="1:10" ht="15">
      <c r="A26" s="339"/>
      <c r="B26" s="339"/>
      <c r="C26" s="339"/>
      <c r="D26" s="89" t="s">
        <v>3244</v>
      </c>
      <c r="E26" s="89" t="s">
        <v>3224</v>
      </c>
      <c r="F26" s="89" t="s">
        <v>3245</v>
      </c>
      <c r="G26" s="88"/>
      <c r="H26" s="88"/>
      <c r="I26" s="88"/>
      <c r="J26" s="88"/>
    </row>
    <row r="27" spans="1:10" ht="15">
      <c r="A27" s="339"/>
      <c r="B27" s="339"/>
      <c r="C27" s="339"/>
      <c r="D27" s="89" t="s">
        <v>3246</v>
      </c>
      <c r="E27" s="89" t="s">
        <v>3250</v>
      </c>
      <c r="F27" s="89" t="s">
        <v>3247</v>
      </c>
      <c r="G27" s="88"/>
      <c r="H27" s="88"/>
      <c r="I27" s="88"/>
      <c r="J27" s="88"/>
    </row>
    <row r="28" spans="1:10" ht="15">
      <c r="A28" s="339"/>
      <c r="B28" s="339"/>
      <c r="C28" s="339"/>
      <c r="D28" s="89" t="s">
        <v>3248</v>
      </c>
      <c r="E28" s="89" t="s">
        <v>3250</v>
      </c>
      <c r="F28" s="89" t="s">
        <v>3249</v>
      </c>
      <c r="G28" s="88"/>
      <c r="H28" s="88"/>
      <c r="I28" s="88"/>
      <c r="J28" s="88"/>
    </row>
    <row r="29" spans="1:10" ht="15">
      <c r="A29" s="339"/>
      <c r="B29" s="339"/>
      <c r="C29" s="339"/>
      <c r="D29" s="89" t="s">
        <v>3251</v>
      </c>
      <c r="E29" s="89" t="s">
        <v>3250</v>
      </c>
      <c r="F29" s="89" t="s">
        <v>3252</v>
      </c>
      <c r="G29" s="88"/>
      <c r="H29" s="88"/>
      <c r="I29" s="88"/>
      <c r="J29" s="88"/>
    </row>
    <row r="30" spans="1:10" ht="15">
      <c r="A30" s="339"/>
      <c r="B30" s="339"/>
      <c r="C30" s="339"/>
      <c r="D30" s="89" t="s">
        <v>3253</v>
      </c>
      <c r="E30" s="89" t="s">
        <v>3250</v>
      </c>
      <c r="F30" s="89" t="s">
        <v>3257</v>
      </c>
      <c r="G30" s="88"/>
      <c r="H30" s="88"/>
      <c r="I30" s="88"/>
      <c r="J30" s="88"/>
    </row>
    <row r="31" spans="1:10" ht="15">
      <c r="A31" s="339"/>
      <c r="B31" s="339"/>
      <c r="C31" s="339"/>
      <c r="D31" s="89" t="s">
        <v>3254</v>
      </c>
      <c r="E31" s="89" t="s">
        <v>3250</v>
      </c>
      <c r="F31" s="89" t="s">
        <v>3258</v>
      </c>
      <c r="G31" s="88"/>
      <c r="H31" s="88"/>
      <c r="I31" s="88"/>
      <c r="J31" s="88"/>
    </row>
    <row r="32" spans="1:10" ht="15">
      <c r="A32" s="339"/>
      <c r="B32" s="339"/>
      <c r="C32" s="339"/>
      <c r="D32" s="89" t="s">
        <v>3255</v>
      </c>
      <c r="E32" s="89" t="s">
        <v>3224</v>
      </c>
      <c r="F32" s="89" t="s">
        <v>3259</v>
      </c>
      <c r="G32" s="88"/>
      <c r="H32" s="88"/>
      <c r="I32" s="88"/>
      <c r="J32" s="88"/>
    </row>
    <row r="33" spans="1:10" ht="15">
      <c r="A33" s="339"/>
      <c r="B33" s="339"/>
      <c r="C33" s="339"/>
      <c r="D33" s="89" t="s">
        <v>3256</v>
      </c>
      <c r="E33" s="89" t="s">
        <v>3224</v>
      </c>
      <c r="F33" s="89" t="s">
        <v>3260</v>
      </c>
      <c r="G33" s="88"/>
      <c r="H33" s="88"/>
      <c r="I33" s="88"/>
      <c r="J33" s="88"/>
    </row>
    <row r="34" spans="1:10" ht="15">
      <c r="A34" s="339"/>
      <c r="B34" s="339"/>
      <c r="C34" s="339"/>
      <c r="D34" s="89"/>
      <c r="E34" s="89"/>
      <c r="F34" s="89"/>
      <c r="G34" s="88"/>
      <c r="H34" s="88"/>
      <c r="I34" s="88"/>
      <c r="J34" s="88"/>
    </row>
    <row r="35" spans="1:10" ht="15">
      <c r="A35" s="339"/>
      <c r="B35" s="339"/>
      <c r="C35" s="339"/>
      <c r="D35" s="89"/>
      <c r="E35" s="89"/>
      <c r="F35" s="89"/>
      <c r="G35" s="88"/>
      <c r="H35" s="88"/>
      <c r="I35" s="88"/>
      <c r="J35" s="88"/>
    </row>
    <row r="36" spans="1:10" ht="15">
      <c r="A36" s="339"/>
      <c r="B36" s="339"/>
      <c r="C36" s="339"/>
      <c r="D36" s="89"/>
      <c r="E36" s="89"/>
      <c r="F36" s="89"/>
      <c r="G36" s="88"/>
      <c r="H36" s="88"/>
      <c r="I36" s="88"/>
      <c r="J36" s="88"/>
    </row>
    <row r="37" spans="1:10" ht="15">
      <c r="A37" s="339"/>
      <c r="B37" s="339"/>
      <c r="C37" s="339"/>
      <c r="D37" s="89"/>
      <c r="E37" s="89"/>
      <c r="F37" s="89"/>
      <c r="G37" s="88"/>
      <c r="H37" s="88"/>
      <c r="I37" s="88"/>
      <c r="J37" s="88"/>
    </row>
    <row r="38" spans="1:10" ht="15">
      <c r="A38" s="339"/>
      <c r="B38" s="339"/>
      <c r="C38" s="339"/>
      <c r="D38" s="89"/>
      <c r="E38" s="89"/>
      <c r="F38" s="89"/>
      <c r="G38" s="88"/>
      <c r="H38" s="88"/>
      <c r="I38" s="88"/>
      <c r="J38" s="88"/>
    </row>
    <row r="39" spans="1:10" ht="15">
      <c r="A39" s="339"/>
      <c r="B39" s="339"/>
      <c r="C39" s="339"/>
      <c r="D39" s="89"/>
      <c r="E39" s="89"/>
      <c r="F39" s="89"/>
      <c r="G39" s="88"/>
      <c r="H39" s="88"/>
      <c r="I39" s="88"/>
      <c r="J39" s="88"/>
    </row>
    <row r="40" spans="1:10" ht="15">
      <c r="A40" s="339"/>
      <c r="B40" s="339"/>
      <c r="C40" s="339"/>
      <c r="D40" s="89"/>
      <c r="E40" s="89"/>
      <c r="F40" s="89"/>
      <c r="G40" s="88"/>
      <c r="H40" s="88"/>
      <c r="I40" s="88"/>
      <c r="J40" s="88"/>
    </row>
    <row r="41" spans="1:10" ht="15">
      <c r="A41" s="339"/>
      <c r="B41" s="339"/>
      <c r="C41" s="339"/>
      <c r="D41" s="88"/>
      <c r="E41" s="88"/>
      <c r="F41" s="88"/>
      <c r="G41" s="88"/>
      <c r="H41" s="88"/>
      <c r="I41" s="88"/>
      <c r="J41" s="88"/>
    </row>
    <row r="42" spans="1:10" ht="15">
      <c r="A42" s="339"/>
      <c r="B42" s="339"/>
      <c r="C42" s="339"/>
      <c r="D42" s="88"/>
      <c r="E42" s="88"/>
      <c r="F42" s="88"/>
      <c r="G42" s="88"/>
      <c r="H42" s="88"/>
      <c r="I42" s="88"/>
      <c r="J42" s="88"/>
    </row>
    <row r="43" spans="1:10">
      <c r="A43" s="270"/>
      <c r="B43" s="270"/>
      <c r="C43" s="270"/>
    </row>
    <row r="44" spans="1:10">
      <c r="A44" s="270"/>
      <c r="B44" s="270"/>
      <c r="C44" s="270"/>
    </row>
    <row r="45" spans="1:10">
      <c r="A45" s="270"/>
      <c r="B45" s="270"/>
      <c r="C45" s="270"/>
    </row>
    <row r="46" spans="1:10">
      <c r="A46" s="270"/>
      <c r="B46" s="270"/>
      <c r="C46" s="270"/>
    </row>
    <row r="47" spans="1:10">
      <c r="A47" s="270"/>
      <c r="B47" s="270"/>
      <c r="C47" s="270"/>
    </row>
    <row r="48" spans="1:10">
      <c r="A48" s="270"/>
      <c r="B48" s="270"/>
      <c r="C48" s="270"/>
    </row>
    <row r="49" spans="1:3">
      <c r="A49" s="270"/>
      <c r="B49" s="270"/>
      <c r="C49" s="270"/>
    </row>
    <row r="50" spans="1:3">
      <c r="A50" s="270"/>
      <c r="B50" s="270"/>
      <c r="C50" s="270"/>
    </row>
    <row r="51" spans="1:3">
      <c r="A51" s="270"/>
      <c r="B51" s="270"/>
      <c r="C51" s="270"/>
    </row>
    <row r="52" spans="1:3">
      <c r="A52" s="270"/>
      <c r="B52" s="270"/>
      <c r="C52" s="270"/>
    </row>
    <row r="53" spans="1:3">
      <c r="A53" s="270"/>
      <c r="B53" s="270"/>
      <c r="C53" s="270"/>
    </row>
    <row r="54" spans="1:3">
      <c r="A54" s="270"/>
      <c r="B54" s="270"/>
      <c r="C54" s="270"/>
    </row>
    <row r="55" spans="1:3">
      <c r="A55" s="270"/>
      <c r="B55" s="270"/>
      <c r="C55" s="270"/>
    </row>
    <row r="56" spans="1:3">
      <c r="A56" s="270"/>
      <c r="B56" s="270"/>
      <c r="C56" s="270"/>
    </row>
    <row r="57" spans="1:3">
      <c r="A57" s="270"/>
      <c r="B57" s="270"/>
      <c r="C57" s="270"/>
    </row>
    <row r="58" spans="1:3">
      <c r="A58" s="270"/>
      <c r="B58" s="270"/>
      <c r="C58" s="270"/>
    </row>
    <row r="59" spans="1:3">
      <c r="A59" s="270"/>
      <c r="B59" s="270"/>
      <c r="C59" s="270"/>
    </row>
    <row r="60" spans="1:3">
      <c r="A60" s="270"/>
      <c r="B60" s="270"/>
      <c r="C60" s="270"/>
    </row>
    <row r="61" spans="1:3">
      <c r="A61" s="270"/>
      <c r="B61" s="270"/>
      <c r="C61" s="270"/>
    </row>
    <row r="62" spans="1:3">
      <c r="A62" s="270"/>
      <c r="B62" s="270"/>
      <c r="C62" s="270"/>
    </row>
    <row r="63" spans="1:3">
      <c r="A63" s="270"/>
      <c r="B63" s="270"/>
      <c r="C63" s="270"/>
    </row>
    <row r="64" spans="1:3">
      <c r="A64" s="270"/>
      <c r="B64" s="270"/>
      <c r="C64" s="270"/>
    </row>
    <row r="65" spans="1:3">
      <c r="A65" s="270"/>
      <c r="B65" s="270"/>
      <c r="C65" s="270"/>
    </row>
    <row r="66" spans="1:3">
      <c r="A66" s="270"/>
      <c r="B66" s="270"/>
      <c r="C66" s="270"/>
    </row>
    <row r="67" spans="1:3">
      <c r="A67" s="270"/>
      <c r="B67" s="270"/>
      <c r="C67" s="270"/>
    </row>
    <row r="68" spans="1:3">
      <c r="A68" s="270"/>
      <c r="B68" s="270"/>
      <c r="C68" s="270"/>
    </row>
    <row r="69" spans="1:3">
      <c r="A69" s="270"/>
      <c r="B69" s="270"/>
      <c r="C69" s="270"/>
    </row>
    <row r="70" spans="1:3">
      <c r="A70" s="270"/>
      <c r="B70" s="270"/>
      <c r="C70" s="270"/>
    </row>
    <row r="71" spans="1:3">
      <c r="A71" s="270"/>
      <c r="B71" s="270"/>
      <c r="C71" s="270"/>
    </row>
    <row r="72" spans="1:3">
      <c r="A72" s="270"/>
      <c r="B72" s="270"/>
      <c r="C72" s="270"/>
    </row>
    <row r="73" spans="1:3">
      <c r="A73" s="270"/>
      <c r="B73" s="270"/>
      <c r="C73" s="270"/>
    </row>
    <row r="74" spans="1:3">
      <c r="A74" s="270"/>
      <c r="B74" s="270"/>
      <c r="C74" s="270"/>
    </row>
    <row r="75" spans="1:3">
      <c r="A75" s="270"/>
      <c r="B75" s="270"/>
      <c r="C75" s="270"/>
    </row>
    <row r="76" spans="1:3">
      <c r="A76" s="270"/>
      <c r="B76" s="270"/>
      <c r="C76" s="270"/>
    </row>
    <row r="77" spans="1:3">
      <c r="A77" s="270"/>
      <c r="B77" s="270"/>
      <c r="C77" s="270"/>
    </row>
    <row r="78" spans="1:3">
      <c r="A78" s="270"/>
      <c r="B78" s="270"/>
      <c r="C78" s="270"/>
    </row>
    <row r="79" spans="1:3">
      <c r="A79" s="270"/>
      <c r="B79" s="270"/>
      <c r="C79" s="270"/>
    </row>
    <row r="80" spans="1:3">
      <c r="A80" s="270"/>
      <c r="B80" s="270"/>
      <c r="C80" s="270"/>
    </row>
    <row r="81" spans="1:3">
      <c r="A81" s="270"/>
      <c r="B81" s="270"/>
      <c r="C81" s="270"/>
    </row>
    <row r="82" spans="1:3">
      <c r="A82" s="270"/>
      <c r="B82" s="270"/>
      <c r="C82" s="270"/>
    </row>
    <row r="83" spans="1:3">
      <c r="A83" s="270"/>
      <c r="B83" s="270"/>
      <c r="C83" s="270"/>
    </row>
    <row r="84" spans="1:3">
      <c r="A84" s="270"/>
      <c r="B84" s="270"/>
      <c r="C84" s="270"/>
    </row>
    <row r="85" spans="1:3">
      <c r="A85" s="270"/>
      <c r="B85" s="270"/>
      <c r="C85" s="270"/>
    </row>
    <row r="86" spans="1:3">
      <c r="A86" s="270"/>
      <c r="B86" s="270"/>
      <c r="C86" s="270"/>
    </row>
    <row r="87" spans="1:3">
      <c r="A87" s="270"/>
      <c r="B87" s="270"/>
      <c r="C87" s="270"/>
    </row>
    <row r="88" spans="1:3">
      <c r="A88" s="270"/>
      <c r="B88" s="270"/>
      <c r="C88" s="270"/>
    </row>
    <row r="89" spans="1:3">
      <c r="A89" s="270"/>
      <c r="B89" s="270"/>
      <c r="C89" s="270"/>
    </row>
    <row r="90" spans="1:3">
      <c r="A90" s="270"/>
      <c r="B90" s="270"/>
      <c r="C90" s="270"/>
    </row>
    <row r="91" spans="1:3">
      <c r="A91" s="270"/>
      <c r="B91" s="270"/>
      <c r="C91" s="270"/>
    </row>
    <row r="92" spans="1:3">
      <c r="A92" s="270"/>
      <c r="B92" s="270"/>
      <c r="C92" s="270"/>
    </row>
    <row r="93" spans="1:3">
      <c r="A93" s="270"/>
      <c r="B93" s="270"/>
      <c r="C93" s="270"/>
    </row>
    <row r="94" spans="1:3">
      <c r="A94" s="270"/>
      <c r="B94" s="270"/>
      <c r="C94" s="270"/>
    </row>
    <row r="95" spans="1:3">
      <c r="A95" s="270"/>
      <c r="B95" s="270"/>
      <c r="C95" s="270"/>
    </row>
    <row r="96" spans="1:3">
      <c r="A96" s="270"/>
      <c r="B96" s="270"/>
      <c r="C96" s="270"/>
    </row>
    <row r="97" spans="1:3">
      <c r="A97" s="270"/>
      <c r="B97" s="270"/>
      <c r="C97" s="270"/>
    </row>
    <row r="98" spans="1:3">
      <c r="A98" s="270"/>
      <c r="B98" s="270"/>
      <c r="C98" s="270"/>
    </row>
    <row r="99" spans="1:3">
      <c r="A99" s="270"/>
      <c r="B99" s="270"/>
      <c r="C99" s="270"/>
    </row>
    <row r="100" spans="1:3">
      <c r="A100" s="270"/>
      <c r="B100" s="270"/>
      <c r="C100" s="270"/>
    </row>
    <row r="101" spans="1:3">
      <c r="A101" s="270"/>
      <c r="B101" s="270"/>
      <c r="C101" s="270"/>
    </row>
    <row r="102" spans="1:3">
      <c r="A102" s="270"/>
      <c r="B102" s="270"/>
      <c r="C102" s="270"/>
    </row>
    <row r="103" spans="1:3">
      <c r="A103" s="270"/>
      <c r="B103" s="270"/>
      <c r="C103" s="270"/>
    </row>
    <row r="104" spans="1:3">
      <c r="A104" s="270"/>
      <c r="B104" s="270"/>
      <c r="C104" s="270"/>
    </row>
    <row r="105" spans="1:3">
      <c r="A105" s="270"/>
      <c r="B105" s="270"/>
      <c r="C105" s="270"/>
    </row>
    <row r="106" spans="1:3">
      <c r="A106" s="270"/>
      <c r="B106" s="270"/>
      <c r="C106" s="270"/>
    </row>
    <row r="107" spans="1:3">
      <c r="A107" s="270"/>
      <c r="B107" s="270"/>
      <c r="C107" s="270"/>
    </row>
    <row r="108" spans="1:3">
      <c r="A108" s="270"/>
      <c r="B108" s="270"/>
      <c r="C108" s="270"/>
    </row>
    <row r="109" spans="1:3">
      <c r="A109" s="270"/>
      <c r="B109" s="270"/>
      <c r="C109" s="270"/>
    </row>
    <row r="110" spans="1:3">
      <c r="A110" s="270"/>
      <c r="B110" s="270"/>
      <c r="C110" s="270"/>
    </row>
    <row r="111" spans="1:3">
      <c r="A111" s="270"/>
      <c r="B111" s="270"/>
      <c r="C111" s="270"/>
    </row>
    <row r="112" spans="1:3">
      <c r="A112" s="270"/>
      <c r="B112" s="270"/>
      <c r="C112" s="270"/>
    </row>
    <row r="113" spans="1:3">
      <c r="A113" s="270"/>
      <c r="B113" s="270"/>
      <c r="C113" s="270"/>
    </row>
    <row r="114" spans="1:3">
      <c r="A114" s="270"/>
      <c r="B114" s="270"/>
      <c r="C114" s="270"/>
    </row>
    <row r="115" spans="1:3">
      <c r="A115" s="270"/>
      <c r="B115" s="270"/>
      <c r="C115" s="270"/>
    </row>
    <row r="116" spans="1:3">
      <c r="A116" s="270"/>
      <c r="B116" s="270"/>
      <c r="C116" s="270"/>
    </row>
  </sheetData>
  <mergeCells count="5">
    <mergeCell ref="A4:C116"/>
    <mergeCell ref="D8:D10"/>
    <mergeCell ref="D3:F3"/>
    <mergeCell ref="D7:E7"/>
    <mergeCell ref="D13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CDM (F)</vt:lpstr>
      <vt:lpstr>CDL(F)</vt:lpstr>
      <vt:lpstr>FV</vt:lpstr>
      <vt:lpstr>FVL-FVC</vt:lpstr>
      <vt:lpstr>FTD</vt:lpstr>
      <vt:lpstr>QB</vt:lpstr>
      <vt:lpstr>FB-FBA-FBG-FBT-FBS</vt:lpstr>
      <vt:lpstr>WQC с рубашкой охлаждения</vt:lpstr>
      <vt:lpstr>WQV</vt:lpstr>
      <vt:lpstr>WQ-WQS</vt:lpstr>
      <vt:lpstr>WQK</vt:lpstr>
      <vt:lpstr>WQH</vt:lpstr>
      <vt:lpstr>WQAS</vt:lpstr>
      <vt:lpstr>АТМ и колена  к WQ</vt:lpstr>
      <vt:lpstr>KBD-KBS</vt:lpstr>
      <vt:lpstr>FZ</vt:lpstr>
      <vt:lpstr>L</vt:lpstr>
      <vt:lpstr>CM</vt:lpstr>
      <vt:lpstr>MS</vt:lpstr>
      <vt:lpstr>CHL</vt:lpstr>
      <vt:lpstr>CHLF</vt:lpstr>
      <vt:lpstr>CHLFT</vt:lpstr>
      <vt:lpstr>MHI</vt:lpstr>
      <vt:lpstr>FWO FDX 2FDX</vt:lpstr>
      <vt:lpstr>FSC</vt:lpstr>
      <vt:lpstr>FST</vt:lpstr>
      <vt:lpstr>FST 4</vt:lpstr>
      <vt:lpstr>FSM - FSM 4</vt:lpstr>
      <vt:lpstr>FSP</vt:lpstr>
      <vt:lpstr>Электродвигатели FANCY</vt:lpstr>
      <vt:lpstr>Поплавковый выключатель</vt:lpstr>
      <vt:lpstr>Дополнительные опции</vt:lpstr>
    </vt:vector>
  </TitlesOfParts>
  <Company>上海太平洋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</dc:creator>
  <cp:lastModifiedBy>usm12</cp:lastModifiedBy>
  <cp:revision>1</cp:revision>
  <cp:lastPrinted>2014-12-27T02:42:07Z</cp:lastPrinted>
  <dcterms:created xsi:type="dcterms:W3CDTF">2008-11-20T00:38:20Z</dcterms:created>
  <dcterms:modified xsi:type="dcterms:W3CDTF">2026-09-23T07:58:20Z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2052-5.1.1.7676</vt:lpwstr>
  </property>
  <property fmtid="{D5CDD505-2E9C-101B-9397-08002B2CF9AE}" pid="3" name="ICV">
    <vt:lpwstr>21683B9EF24AF400A32EED63B3414FB7</vt:lpwstr>
  </property>
  <property fmtid="{D5CDD505-2E9C-101B-9397-08002B2CF9AE}" pid="4" name="commondata">
    <vt:lpwstr>eyJoZGlkIjoiYWYxNjAwMzk4OTExYjYyYWUyMGU5ZDU2MDQ1MDg5ZGYifQ==</vt:lpwstr>
  </property>
</Properties>
</file>